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5230" windowHeight="6180" activeTab="1"/>
  </bookViews>
  <sheets>
    <sheet name="Info" sheetId="1" r:id="rId1"/>
    <sheet name="Data Summary" sheetId="2" r:id="rId2"/>
    <sheet name="PS" sheetId="3" r:id="rId3"/>
    <sheet name="Reference Source Info" sheetId="4" r:id="rId4"/>
    <sheet name="DQI" sheetId="5" r:id="rId5"/>
    <sheet name="mixer_settler_power" sheetId="9" r:id="rId6"/>
    <sheet name="concentrate_composition" sheetId="6" r:id="rId7"/>
    <sheet name="Separation_factors" sheetId="11" r:id="rId8"/>
    <sheet name="material_use" sheetId="14" r:id="rId9"/>
    <sheet name="Conversions" sheetId="7" r:id="rId10"/>
    <sheet name="Assumptions" sheetId="8" r:id="rId11"/>
    <sheet name="_STDS_DG383A3BC0" sheetId="10" state="hidden" r:id="rId12"/>
    <sheet name="Chart" sheetId="15" r:id="rId1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olver_adj" localSheetId="1" hidden="1">'Data Summary'!$E$28</definedName>
    <definedName name="solver_adj" localSheetId="8" hidden="1">material_use!$B$45</definedName>
    <definedName name="solver_cvg" localSheetId="1" hidden="1">0.0001</definedName>
    <definedName name="solver_cvg" localSheetId="8" hidden="1">0.0001</definedName>
    <definedName name="solver_drv" localSheetId="1" hidden="1">1</definedName>
    <definedName name="solver_drv" localSheetId="8" hidden="1">2</definedName>
    <definedName name="solver_eng" localSheetId="1" hidden="1">1</definedName>
    <definedName name="solver_eng" localSheetId="8" hidden="1">1</definedName>
    <definedName name="solver_est" localSheetId="1" hidden="1">1</definedName>
    <definedName name="solver_est" localSheetId="8" hidden="1">1</definedName>
    <definedName name="solver_itr" localSheetId="1" hidden="1">2147483647</definedName>
    <definedName name="solver_itr" localSheetId="8" hidden="1">2147483647</definedName>
    <definedName name="solver_mip" localSheetId="1" hidden="1">2147483647</definedName>
    <definedName name="solver_mip" localSheetId="8" hidden="1">2147483647</definedName>
    <definedName name="solver_mni" localSheetId="1" hidden="1">30</definedName>
    <definedName name="solver_mni" localSheetId="8" hidden="1">30</definedName>
    <definedName name="solver_mrt" localSheetId="1" hidden="1">0.075</definedName>
    <definedName name="solver_mrt" localSheetId="8" hidden="1">0.075</definedName>
    <definedName name="solver_msl" localSheetId="1" hidden="1">2</definedName>
    <definedName name="solver_msl" localSheetId="8" hidden="1">2</definedName>
    <definedName name="solver_neg" localSheetId="1" hidden="1">1</definedName>
    <definedName name="solver_neg" localSheetId="8" hidden="1">1</definedName>
    <definedName name="solver_nod" localSheetId="1" hidden="1">2147483647</definedName>
    <definedName name="solver_nod" localSheetId="8" hidden="1">2147483647</definedName>
    <definedName name="solver_num" localSheetId="1" hidden="1">0</definedName>
    <definedName name="solver_num" localSheetId="8" hidden="1">0</definedName>
    <definedName name="solver_nwt" localSheetId="1" hidden="1">1</definedName>
    <definedName name="solver_nwt" localSheetId="8" hidden="1">1</definedName>
    <definedName name="solver_opt" localSheetId="1" hidden="1">'Data Summary'!$E$114</definedName>
    <definedName name="solver_opt" localSheetId="8" hidden="1">material_use!$B$46</definedName>
    <definedName name="solver_pre" localSheetId="1" hidden="1">0.000001</definedName>
    <definedName name="solver_pre" localSheetId="8" hidden="1">0.000001</definedName>
    <definedName name="solver_rbv" localSheetId="1" hidden="1">1</definedName>
    <definedName name="solver_rbv" localSheetId="8" hidden="1">2</definedName>
    <definedName name="solver_rlx" localSheetId="1" hidden="1">2</definedName>
    <definedName name="solver_rlx" localSheetId="8" hidden="1">2</definedName>
    <definedName name="solver_rsd" localSheetId="1" hidden="1">0</definedName>
    <definedName name="solver_rsd" localSheetId="8" hidden="1">0</definedName>
    <definedName name="solver_scl" localSheetId="1" hidden="1">1</definedName>
    <definedName name="solver_scl" localSheetId="8" hidden="1">2</definedName>
    <definedName name="solver_sho" localSheetId="1" hidden="1">2</definedName>
    <definedName name="solver_sho" localSheetId="8" hidden="1">2</definedName>
    <definedName name="solver_ssz" localSheetId="1" hidden="1">100</definedName>
    <definedName name="solver_ssz" localSheetId="8" hidden="1">100</definedName>
    <definedName name="solver_tim" localSheetId="1" hidden="1">2147483647</definedName>
    <definedName name="solver_tim" localSheetId="8" hidden="1">2147483647</definedName>
    <definedName name="solver_tol" localSheetId="1" hidden="1">0.01</definedName>
    <definedName name="solver_tol" localSheetId="8" hidden="1">0.01</definedName>
    <definedName name="solver_typ" localSheetId="1" hidden="1">3</definedName>
    <definedName name="solver_typ" localSheetId="8" hidden="1">3</definedName>
    <definedName name="solver_val" localSheetId="1" hidden="1">0.0017</definedName>
    <definedName name="solver_val" localSheetId="8" hidden="1">0.00157</definedName>
    <definedName name="solver_ver" localSheetId="1" hidden="1">3</definedName>
    <definedName name="solver_ver" localSheetId="8" hidden="1">3</definedName>
    <definedName name="ST_MotorpowerHP">mixer_settler_power!$D$5:$D$13</definedName>
    <definedName name="ST_Totalflowgpm">mixer_settler_power!$C$5:$C$13</definedName>
    <definedName name="STWBD_StatToolsDiscriminant_HasDefaultInfo" hidden="1">"TRUE"</definedName>
    <definedName name="STWBD_StatToolsDiscriminant_IncludeClassificationResults" hidden="1">"TRUE"</definedName>
    <definedName name="STWBD_StatToolsDiscriminant_IncludeClassificationSummary" hidden="1">"TRUE"</definedName>
    <definedName name="STWBD_StatToolsDiscriminant_IncludePrediction" hidden="1">"FALSE"</definedName>
    <definedName name="STWBD_StatToolsDiscriminant_IncludeVarsAndCovars" hidden="1">"TRUE"</definedName>
    <definedName name="STWBD_StatToolsDiscriminant_UseMisclassification" hidden="1">"TRUE"</definedName>
    <definedName name="STWBD_StatToolsDiscriminant_VariableDependent" hidden="1">"U_x0001_VGC5E36873A1078A5_x0001_"</definedName>
    <definedName name="STWBD_StatToolsDiscriminant_VariableListIndependent" hidden="1">1</definedName>
    <definedName name="STWBD_StatToolsDiscriminant_VariableListIndependent_1" hidden="1">"U_x0001_VG1D44CEF615C2DC14_x0001_"</definedName>
    <definedName name="STWBD_StatToolsDiscriminant_VarSelectorDefaultDataSet" hidden="1">"DG383A3BC0"</definedName>
    <definedName name="STWBD_StatToolsRegression_blockList" hidden="1">"-1"</definedName>
    <definedName name="STWBD_StatToolsRegression_ConfidenceLevel" hidden="1">" .95"</definedName>
    <definedName name="STWBD_StatToolsRegression_FValueToEnter" hidden="1">" 2.2"</definedName>
    <definedName name="STWBD_StatToolsRegression_FValueToLeave" hidden="1">" 1.1"</definedName>
    <definedName name="STWBD_StatToolsRegression_GraphFittedValueVsActualYValue" hidden="1">"TRUE"</definedName>
    <definedName name="STWBD_StatToolsRegression_GraphFittedValueVsXValue" hidden="1">"TRUE"</definedName>
    <definedName name="STWBD_StatToolsRegression_GraphResidualVsFittedValue" hidden="1">"TRUE"</definedName>
    <definedName name="STWBD_StatToolsRegression_GraphResidualVsXValue" hidden="1">"TRUE"</definedName>
    <definedName name="STWBD_StatToolsRegression_HasDefaultInfo" hidden="1">"TRUE"</definedName>
    <definedName name="STWBD_StatToolsRegression_IncludePrediction" hidden="1">"FALSE"</definedName>
    <definedName name="STWBD_StatToolsRegression_IncludeSteps" hidden="1">"FALSE"</definedName>
    <definedName name="STWBD_StatToolsRegression_NumberOfBlocks" hidden="1">" 0"</definedName>
    <definedName name="STWBD_StatToolsRegression_pValueToEnter" hidden="1">" .05"</definedName>
    <definedName name="STWBD_StatToolsRegression_pValueToLeave" hidden="1">" .1"</definedName>
    <definedName name="STWBD_StatToolsRegression_RegressionType" hidden="1">" 0"</definedName>
    <definedName name="STWBD_StatToolsRegression_throughOrigin" hidden="1">"TRUE"</definedName>
    <definedName name="STWBD_StatToolsRegression_useFValue" hidden="1">"FALSE"</definedName>
    <definedName name="STWBD_StatToolsRegression_usePValue" hidden="1">"TRUE"</definedName>
    <definedName name="STWBD_StatToolsRegression_VariableDependent" hidden="1">"U_x0001_VGC5E36873A1078A5_x0001_"</definedName>
    <definedName name="STWBD_StatToolsRegression_VariableListIndependent" hidden="1">1</definedName>
    <definedName name="STWBD_StatToolsRegression_VariableListIndependent_1" hidden="1">"U_x0001_VG1D44CEF615C2DC14_x0001_"</definedName>
    <definedName name="STWBD_StatToolsRegression_VarSelectorDefaultDataSet" hidden="1">"DG383A3BC0"</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s>
  <calcPr calcId="145621" concurrentCalc="0"/>
</workbook>
</file>

<file path=xl/calcChain.xml><?xml version="1.0" encoding="utf-8"?>
<calcChain xmlns="http://schemas.openxmlformats.org/spreadsheetml/2006/main">
  <c r="E81" i="2" l="1"/>
  <c r="E26" i="2"/>
  <c r="E25" i="2"/>
  <c r="Q27" i="14"/>
  <c r="Q20" i="14"/>
  <c r="B10" i="14"/>
  <c r="E110" i="2"/>
  <c r="E109" i="2"/>
  <c r="E96" i="2"/>
  <c r="E97" i="2"/>
  <c r="E98" i="2"/>
  <c r="E99" i="2"/>
  <c r="E100" i="2"/>
  <c r="E101" i="2"/>
  <c r="E102" i="2"/>
  <c r="E103" i="2"/>
  <c r="E104" i="2"/>
  <c r="E105" i="2"/>
  <c r="E106" i="2"/>
  <c r="E107" i="2"/>
  <c r="E108" i="2"/>
  <c r="E111" i="2"/>
  <c r="E122" i="2"/>
  <c r="E112" i="2"/>
  <c r="B51" i="14"/>
  <c r="D82" i="6"/>
  <c r="F82" i="6"/>
  <c r="E82" i="2"/>
  <c r="H20" i="14"/>
  <c r="L20" i="14"/>
  <c r="E118" i="2"/>
  <c r="H27" i="14"/>
  <c r="L27" i="14"/>
  <c r="E120" i="2"/>
  <c r="H18" i="14"/>
  <c r="L18" i="14"/>
  <c r="Q18" i="14"/>
  <c r="E28" i="2"/>
  <c r="L42" i="14"/>
  <c r="E83" i="2"/>
  <c r="E84" i="2"/>
  <c r="E85" i="2"/>
  <c r="E86" i="2"/>
  <c r="E87" i="2"/>
  <c r="E88" i="2"/>
  <c r="E89" i="2"/>
  <c r="E90" i="2"/>
  <c r="E91" i="2"/>
  <c r="E92" i="2"/>
  <c r="E93" i="2"/>
  <c r="E94" i="2"/>
  <c r="E95" i="2"/>
  <c r="D64" i="6"/>
  <c r="F64" i="6"/>
  <c r="H25" i="14"/>
  <c r="H24" i="14"/>
  <c r="H23" i="14"/>
  <c r="H22" i="14"/>
  <c r="H21" i="14"/>
  <c r="H19" i="14"/>
  <c r="H17" i="14"/>
  <c r="L17" i="14"/>
  <c r="L5" i="9"/>
  <c r="I19" i="9"/>
  <c r="K19" i="9"/>
  <c r="G19" i="9"/>
  <c r="K5" i="9"/>
  <c r="B45" i="14"/>
  <c r="L19" i="14"/>
  <c r="L24" i="14"/>
  <c r="L25" i="14"/>
  <c r="E17" i="14"/>
  <c r="L79" i="11"/>
  <c r="P79" i="11"/>
  <c r="AN38" i="11"/>
  <c r="AM38" i="11"/>
  <c r="AB38" i="11"/>
  <c r="AC41" i="11"/>
  <c r="AC40" i="11"/>
  <c r="AC39" i="11"/>
  <c r="AC38" i="11"/>
  <c r="AE38" i="11"/>
  <c r="AH38" i="11"/>
  <c r="B64" i="6"/>
  <c r="S43" i="6"/>
  <c r="S44" i="6"/>
  <c r="S45" i="6"/>
  <c r="S46" i="6"/>
  <c r="S47" i="6"/>
  <c r="S48" i="6"/>
  <c r="S49" i="6"/>
  <c r="S50" i="6"/>
  <c r="S51" i="6"/>
  <c r="S52" i="6"/>
  <c r="S53" i="6"/>
  <c r="S54" i="6"/>
  <c r="S55" i="6"/>
  <c r="S56" i="6"/>
  <c r="S57" i="6"/>
  <c r="P44" i="6"/>
  <c r="P45" i="6"/>
  <c r="P46" i="6"/>
  <c r="P47" i="6"/>
  <c r="P48" i="6"/>
  <c r="P49" i="6"/>
  <c r="P50" i="6"/>
  <c r="P51" i="6"/>
  <c r="P52" i="6"/>
  <c r="P53" i="6"/>
  <c r="P54" i="6"/>
  <c r="P55" i="6"/>
  <c r="P56" i="6"/>
  <c r="P57" i="6"/>
  <c r="P58" i="6"/>
  <c r="P43" i="6"/>
  <c r="B27" i="6"/>
  <c r="B28" i="6"/>
  <c r="B29" i="6"/>
  <c r="B30" i="6"/>
  <c r="B31" i="6"/>
  <c r="D48" i="6"/>
  <c r="B32" i="6"/>
  <c r="D49" i="6"/>
  <c r="B33" i="6"/>
  <c r="B34" i="6"/>
  <c r="B35" i="6"/>
  <c r="B36" i="6"/>
  <c r="D53" i="6"/>
  <c r="B37" i="6"/>
  <c r="D54" i="6"/>
  <c r="B38" i="6"/>
  <c r="B39" i="6"/>
  <c r="B40" i="6"/>
  <c r="D50" i="6"/>
  <c r="D56" i="6"/>
  <c r="D46" i="6"/>
  <c r="D47" i="6"/>
  <c r="D51" i="6"/>
  <c r="D57" i="6"/>
  <c r="D44" i="6"/>
  <c r="D52" i="6"/>
  <c r="B26" i="6"/>
  <c r="D43" i="6"/>
  <c r="D45" i="6"/>
  <c r="D55" i="6"/>
  <c r="B43" i="6"/>
  <c r="F26" i="6"/>
  <c r="F9" i="6"/>
  <c r="P59" i="6"/>
  <c r="D26" i="6"/>
  <c r="B41" i="6"/>
  <c r="D58" i="6"/>
  <c r="AC42" i="11"/>
  <c r="AE39" i="11"/>
  <c r="AE40" i="11"/>
  <c r="AE41" i="11"/>
  <c r="AE42" i="11"/>
  <c r="L80" i="11"/>
  <c r="P80" i="11"/>
  <c r="D5" i="7"/>
  <c r="E30" i="14"/>
  <c r="B7" i="14"/>
  <c r="B9" i="14"/>
  <c r="H30" i="14"/>
  <c r="B24" i="6"/>
  <c r="K45" i="6"/>
  <c r="F10" i="6"/>
  <c r="B44" i="6"/>
  <c r="F11" i="6"/>
  <c r="B45" i="6"/>
  <c r="B66" i="6"/>
  <c r="D66" i="6"/>
  <c r="F12" i="6"/>
  <c r="B46" i="6"/>
  <c r="F13" i="6"/>
  <c r="B47" i="6"/>
  <c r="B68" i="6"/>
  <c r="D68" i="6"/>
  <c r="F14" i="6"/>
  <c r="B48" i="6"/>
  <c r="F15" i="6"/>
  <c r="F32" i="6"/>
  <c r="B49" i="6"/>
  <c r="B70" i="6"/>
  <c r="D70" i="6"/>
  <c r="F16" i="6"/>
  <c r="B50" i="6"/>
  <c r="B71" i="6"/>
  <c r="F17" i="6"/>
  <c r="B51" i="6"/>
  <c r="F18" i="6"/>
  <c r="B52" i="6"/>
  <c r="F19" i="6"/>
  <c r="B53" i="6"/>
  <c r="B74" i="6"/>
  <c r="D74" i="6"/>
  <c r="F20" i="6"/>
  <c r="B54" i="6"/>
  <c r="F21" i="6"/>
  <c r="B55" i="6"/>
  <c r="F22" i="6"/>
  <c r="B56" i="6"/>
  <c r="F23" i="6"/>
  <c r="F40" i="6"/>
  <c r="B57" i="6"/>
  <c r="B43" i="2"/>
  <c r="E43" i="2"/>
  <c r="E33" i="2"/>
  <c r="E32" i="2"/>
  <c r="B33" i="2"/>
  <c r="E27" i="14"/>
  <c r="B122" i="2"/>
  <c r="B123" i="2"/>
  <c r="D7" i="7"/>
  <c r="E20" i="14"/>
  <c r="E19" i="14"/>
  <c r="E35" i="14"/>
  <c r="E33" i="14"/>
  <c r="E32" i="14"/>
  <c r="E31" i="14"/>
  <c r="H31" i="14"/>
  <c r="E29" i="14"/>
  <c r="E25" i="14"/>
  <c r="E23" i="14"/>
  <c r="E22" i="14"/>
  <c r="E21" i="14"/>
  <c r="N141" i="2"/>
  <c r="B112" i="2"/>
  <c r="B113" i="2"/>
  <c r="B114" i="2"/>
  <c r="B115" i="2"/>
  <c r="B116" i="2"/>
  <c r="B117" i="2"/>
  <c r="B118" i="2"/>
  <c r="B119" i="2"/>
  <c r="B120" i="2"/>
  <c r="B121" i="2"/>
  <c r="B124" i="2"/>
  <c r="B31" i="2"/>
  <c r="B30" i="2"/>
  <c r="B29" i="2"/>
  <c r="B64" i="2"/>
  <c r="B65" i="2"/>
  <c r="C49" i="2"/>
  <c r="C50" i="2"/>
  <c r="B50" i="2"/>
  <c r="C51" i="2"/>
  <c r="B51" i="2"/>
  <c r="C52" i="2"/>
  <c r="B52" i="2"/>
  <c r="C53" i="2"/>
  <c r="B53" i="2"/>
  <c r="C54" i="2"/>
  <c r="B54" i="2"/>
  <c r="C55" i="2"/>
  <c r="B55" i="2"/>
  <c r="C56" i="2"/>
  <c r="B56" i="2"/>
  <c r="C57" i="2"/>
  <c r="B57" i="2"/>
  <c r="C58" i="2"/>
  <c r="B58" i="2"/>
  <c r="C59" i="2"/>
  <c r="B59" i="2"/>
  <c r="C60" i="2"/>
  <c r="B60" i="2"/>
  <c r="C61" i="2"/>
  <c r="B61" i="2"/>
  <c r="C62" i="2"/>
  <c r="B62" i="2"/>
  <c r="C48" i="2"/>
  <c r="B63" i="2"/>
  <c r="B47" i="2"/>
  <c r="E46" i="2"/>
  <c r="E45" i="2"/>
  <c r="E44" i="2"/>
  <c r="E42" i="2"/>
  <c r="E41" i="2"/>
  <c r="E40" i="2"/>
  <c r="E39" i="2"/>
  <c r="E38" i="2"/>
  <c r="E37" i="2"/>
  <c r="E36" i="2"/>
  <c r="E35" i="2"/>
  <c r="E34" i="2"/>
  <c r="B37" i="2"/>
  <c r="B38" i="2"/>
  <c r="B39" i="2"/>
  <c r="B40" i="2"/>
  <c r="B41" i="2"/>
  <c r="B42" i="2"/>
  <c r="B44" i="2"/>
  <c r="B45" i="2"/>
  <c r="B46" i="2"/>
  <c r="E31" i="2"/>
  <c r="AD38" i="11"/>
  <c r="AD39" i="11"/>
  <c r="AD40" i="11"/>
  <c r="AD41" i="11"/>
  <c r="AD42" i="11"/>
  <c r="AD43" i="11"/>
  <c r="AB39" i="11"/>
  <c r="AB40" i="11"/>
  <c r="AB41" i="11"/>
  <c r="AB42" i="11"/>
  <c r="AC43" i="11"/>
  <c r="B36" i="2"/>
  <c r="B35" i="2"/>
  <c r="B34" i="2"/>
  <c r="B32" i="2"/>
  <c r="J67" i="2"/>
  <c r="J68" i="2"/>
  <c r="J69" i="2"/>
  <c r="J70" i="2"/>
  <c r="J71" i="2"/>
  <c r="J72" i="2"/>
  <c r="J73" i="2"/>
  <c r="J74" i="2"/>
  <c r="J75" i="2"/>
  <c r="J76" i="2"/>
  <c r="J77" i="2"/>
  <c r="J78" i="2"/>
  <c r="J79" i="2"/>
  <c r="J80" i="2"/>
  <c r="J66" i="2"/>
  <c r="J97" i="2"/>
  <c r="J98" i="2"/>
  <c r="J99" i="2"/>
  <c r="J100" i="2"/>
  <c r="J101" i="2"/>
  <c r="J102" i="2"/>
  <c r="J103" i="2"/>
  <c r="J104" i="2"/>
  <c r="J105" i="2"/>
  <c r="J106" i="2"/>
  <c r="J107" i="2"/>
  <c r="J108" i="2"/>
  <c r="J109" i="2"/>
  <c r="J110" i="2"/>
  <c r="J96" i="2"/>
  <c r="C97" i="2"/>
  <c r="B97" i="2"/>
  <c r="C98" i="2"/>
  <c r="B98" i="2"/>
  <c r="C99" i="2"/>
  <c r="B99" i="2"/>
  <c r="C100" i="2"/>
  <c r="B100" i="2"/>
  <c r="C101" i="2"/>
  <c r="B101" i="2"/>
  <c r="C102" i="2"/>
  <c r="B102" i="2"/>
  <c r="C103" i="2"/>
  <c r="B103" i="2"/>
  <c r="C104" i="2"/>
  <c r="B104" i="2"/>
  <c r="C105" i="2"/>
  <c r="B105" i="2"/>
  <c r="C106" i="2"/>
  <c r="B106" i="2"/>
  <c r="C107" i="2"/>
  <c r="B107" i="2"/>
  <c r="C108" i="2"/>
  <c r="B108" i="2"/>
  <c r="C109" i="2"/>
  <c r="B109" i="2"/>
  <c r="C110" i="2"/>
  <c r="B110" i="2"/>
  <c r="C96" i="2"/>
  <c r="B96" i="2"/>
  <c r="J82" i="2"/>
  <c r="J83" i="2"/>
  <c r="J84" i="2"/>
  <c r="J85" i="2"/>
  <c r="J86" i="2"/>
  <c r="J87" i="2"/>
  <c r="J88" i="2"/>
  <c r="J89" i="2"/>
  <c r="J90" i="2"/>
  <c r="J91" i="2"/>
  <c r="J92" i="2"/>
  <c r="J93" i="2"/>
  <c r="J94" i="2"/>
  <c r="J95" i="2"/>
  <c r="J81" i="2"/>
  <c r="B28" i="2"/>
  <c r="B27" i="2"/>
  <c r="C82" i="2"/>
  <c r="B82" i="2"/>
  <c r="C83" i="2"/>
  <c r="B83" i="2"/>
  <c r="C84" i="2"/>
  <c r="B84" i="2"/>
  <c r="C85" i="2"/>
  <c r="B85" i="2"/>
  <c r="C86" i="2"/>
  <c r="B86" i="2"/>
  <c r="C87" i="2"/>
  <c r="B87" i="2"/>
  <c r="C88" i="2"/>
  <c r="B88" i="2"/>
  <c r="C89" i="2"/>
  <c r="B89" i="2"/>
  <c r="C90" i="2"/>
  <c r="B90" i="2"/>
  <c r="C91" i="2"/>
  <c r="B91" i="2"/>
  <c r="C92" i="2"/>
  <c r="B92" i="2"/>
  <c r="C93" i="2"/>
  <c r="B93" i="2"/>
  <c r="C94" i="2"/>
  <c r="B94" i="2"/>
  <c r="C95" i="2"/>
  <c r="B95" i="2"/>
  <c r="C81" i="2"/>
  <c r="B81" i="2"/>
  <c r="C77" i="2"/>
  <c r="B77" i="2"/>
  <c r="C78" i="2"/>
  <c r="B78" i="2"/>
  <c r="C79" i="2"/>
  <c r="B79" i="2"/>
  <c r="C80" i="2"/>
  <c r="B80" i="2"/>
  <c r="C67" i="2"/>
  <c r="B67" i="2"/>
  <c r="C68" i="2"/>
  <c r="B68" i="2"/>
  <c r="C69" i="2"/>
  <c r="B69" i="2"/>
  <c r="C70" i="2"/>
  <c r="B70" i="2"/>
  <c r="C71" i="2"/>
  <c r="B71" i="2"/>
  <c r="C72" i="2"/>
  <c r="B72" i="2"/>
  <c r="C73" i="2"/>
  <c r="B73" i="2"/>
  <c r="C74" i="2"/>
  <c r="B74" i="2"/>
  <c r="C75" i="2"/>
  <c r="B75" i="2"/>
  <c r="C76" i="2"/>
  <c r="B76" i="2"/>
  <c r="C66" i="2"/>
  <c r="A65" i="6"/>
  <c r="A66" i="6"/>
  <c r="A67" i="6"/>
  <c r="A68" i="6"/>
  <c r="A69" i="6"/>
  <c r="A70" i="6"/>
  <c r="A71" i="6"/>
  <c r="A72" i="6"/>
  <c r="A73" i="6"/>
  <c r="A74" i="6"/>
  <c r="A75" i="6"/>
  <c r="A76" i="6"/>
  <c r="A77" i="6"/>
  <c r="A78" i="6"/>
  <c r="A64" i="6"/>
  <c r="K48" i="6"/>
  <c r="M48" i="6"/>
  <c r="K47" i="6"/>
  <c r="M47" i="6"/>
  <c r="K46" i="6"/>
  <c r="M46" i="6"/>
  <c r="K44" i="6"/>
  <c r="M44" i="6"/>
  <c r="K43" i="6"/>
  <c r="M43" i="6"/>
  <c r="K42" i="6"/>
  <c r="M42" i="6"/>
  <c r="K41" i="6"/>
  <c r="M41" i="6"/>
  <c r="K40" i="6"/>
  <c r="M40" i="6"/>
  <c r="K36" i="6"/>
  <c r="B9" i="10"/>
  <c r="B16" i="10"/>
  <c r="B13" i="10"/>
  <c r="B7" i="10"/>
  <c r="B3" i="10"/>
  <c r="G21" i="9"/>
  <c r="I21" i="9"/>
  <c r="K21" i="9"/>
  <c r="G23" i="2"/>
  <c r="F23" i="2"/>
  <c r="G20" i="9"/>
  <c r="I20" i="9"/>
  <c r="K20" i="9"/>
  <c r="E23" i="2"/>
  <c r="L16" i="9"/>
  <c r="K16" i="9"/>
  <c r="G16" i="9"/>
  <c r="H16" i="9"/>
  <c r="F16" i="9"/>
  <c r="E16" i="9"/>
  <c r="L15" i="9"/>
  <c r="K15" i="9"/>
  <c r="G15" i="9"/>
  <c r="F15" i="9"/>
  <c r="E15" i="9"/>
  <c r="L14" i="9"/>
  <c r="K14" i="9"/>
  <c r="G14" i="9"/>
  <c r="F14" i="9"/>
  <c r="E14" i="9"/>
  <c r="L13" i="9"/>
  <c r="K13" i="9"/>
  <c r="G13" i="9"/>
  <c r="F13" i="9"/>
  <c r="E13" i="9"/>
  <c r="L12" i="9"/>
  <c r="K12" i="9"/>
  <c r="G12" i="9"/>
  <c r="F12" i="9"/>
  <c r="E12" i="9"/>
  <c r="L11" i="9"/>
  <c r="K11" i="9"/>
  <c r="G11" i="9"/>
  <c r="F11" i="9"/>
  <c r="E11" i="9"/>
  <c r="L10" i="9"/>
  <c r="K10" i="9"/>
  <c r="G10" i="9"/>
  <c r="F10" i="9"/>
  <c r="E10" i="9"/>
  <c r="L9" i="9"/>
  <c r="K9" i="9"/>
  <c r="G9" i="9"/>
  <c r="F9" i="9"/>
  <c r="E9" i="9"/>
  <c r="L8" i="9"/>
  <c r="K8" i="9"/>
  <c r="G8" i="9"/>
  <c r="H8" i="9"/>
  <c r="F8" i="9"/>
  <c r="E8" i="9"/>
  <c r="L7" i="9"/>
  <c r="K7" i="9"/>
  <c r="G7" i="9"/>
  <c r="F7" i="9"/>
  <c r="E7" i="9"/>
  <c r="K6" i="9"/>
  <c r="G6" i="9"/>
  <c r="F6" i="9"/>
  <c r="E6" i="9"/>
  <c r="D6" i="9"/>
  <c r="L6" i="9"/>
  <c r="G5" i="9"/>
  <c r="F5" i="9"/>
  <c r="E5" i="9"/>
  <c r="D5" i="9"/>
  <c r="G4" i="9"/>
  <c r="F4" i="9"/>
  <c r="E4" i="9"/>
  <c r="I8" i="5"/>
  <c r="N5" i="2"/>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c r="H130" i="2"/>
  <c r="G130" i="2"/>
  <c r="I130" i="2"/>
  <c r="B26" i="2"/>
  <c r="B25" i="2"/>
  <c r="B24" i="2"/>
  <c r="B23" i="2"/>
  <c r="G11" i="2"/>
  <c r="D4" i="1"/>
  <c r="D3" i="1"/>
  <c r="C29" i="1"/>
  <c r="H12" i="9"/>
  <c r="I12" i="9"/>
  <c r="H11" i="9"/>
  <c r="I11" i="9"/>
  <c r="H9" i="9"/>
  <c r="I9" i="9"/>
  <c r="H7" i="9"/>
  <c r="I7" i="9"/>
  <c r="H6" i="9"/>
  <c r="I6" i="9"/>
  <c r="H15" i="9"/>
  <c r="I15" i="9"/>
  <c r="H14" i="9"/>
  <c r="F34" i="6"/>
  <c r="H132" i="2"/>
  <c r="B66" i="2"/>
  <c r="AE43" i="11"/>
  <c r="AH39" i="11"/>
  <c r="F35" i="6"/>
  <c r="D35" i="6"/>
  <c r="D27" i="6"/>
  <c r="D32" i="6"/>
  <c r="AH42" i="11"/>
  <c r="H13" i="9"/>
  <c r="I13" i="9"/>
  <c r="D30" i="6"/>
  <c r="F30" i="6"/>
  <c r="H32" i="14"/>
  <c r="D38" i="6"/>
  <c r="B62" i="6"/>
  <c r="C62" i="6"/>
  <c r="F27" i="6"/>
  <c r="D39" i="6"/>
  <c r="F39" i="6"/>
  <c r="H5" i="9"/>
  <c r="I5" i="9"/>
  <c r="D29" i="6"/>
  <c r="H134" i="2"/>
  <c r="I10" i="9"/>
  <c r="H10" i="9"/>
  <c r="F37" i="6"/>
  <c r="D37" i="6"/>
  <c r="B49" i="2"/>
  <c r="H133" i="2"/>
  <c r="H135" i="2"/>
  <c r="H131" i="2"/>
  <c r="H142" i="2"/>
  <c r="D36" i="6"/>
  <c r="H33" i="14"/>
  <c r="M45" i="6"/>
  <c r="F38" i="6"/>
  <c r="I4" i="9"/>
  <c r="H35" i="14"/>
  <c r="B78" i="6"/>
  <c r="D78" i="6"/>
  <c r="B76" i="6"/>
  <c r="D76" i="6"/>
  <c r="B72" i="6"/>
  <c r="D72" i="6"/>
  <c r="D40" i="6"/>
  <c r="D31" i="6"/>
  <c r="D28" i="6"/>
  <c r="D34" i="6"/>
  <c r="I14" i="9"/>
  <c r="F36" i="6"/>
  <c r="B69" i="6"/>
  <c r="D69" i="6"/>
  <c r="B67" i="6"/>
  <c r="B65" i="6"/>
  <c r="D65" i="6"/>
  <c r="F28" i="6"/>
  <c r="H4" i="9"/>
  <c r="H141" i="2"/>
  <c r="B48" i="2"/>
  <c r="B77" i="6"/>
  <c r="D77" i="6"/>
  <c r="B75" i="6"/>
  <c r="D75" i="6"/>
  <c r="B73" i="6"/>
  <c r="D73" i="6"/>
  <c r="D33" i="6"/>
  <c r="I8" i="9"/>
  <c r="H29" i="14"/>
  <c r="D71" i="6"/>
  <c r="F33" i="6"/>
  <c r="F31" i="6"/>
  <c r="F29" i="6"/>
  <c r="D67" i="6"/>
  <c r="E24" i="14"/>
  <c r="E34" i="14"/>
  <c r="H34" i="14"/>
  <c r="E28" i="14"/>
  <c r="H28" i="14"/>
  <c r="E36" i="14"/>
  <c r="H36" i="14"/>
  <c r="E18" i="14"/>
  <c r="G141" i="2"/>
  <c r="I141" i="2"/>
  <c r="E113" i="2"/>
  <c r="G132" i="2"/>
  <c r="I132" i="2"/>
  <c r="D79" i="6"/>
  <c r="F77" i="6"/>
  <c r="AH41" i="11"/>
  <c r="AH40" i="11"/>
  <c r="D80" i="6"/>
  <c r="I75" i="6"/>
  <c r="F43" i="6"/>
  <c r="D41" i="6"/>
  <c r="H14" i="14"/>
  <c r="F41" i="6"/>
  <c r="N26" i="6"/>
  <c r="O26" i="6"/>
  <c r="E39" i="11"/>
  <c r="F39" i="11"/>
  <c r="E30" i="2"/>
  <c r="G39" i="11"/>
  <c r="R5" i="11"/>
  <c r="I65" i="6"/>
  <c r="F76" i="6"/>
  <c r="F69" i="6"/>
  <c r="F78" i="6"/>
  <c r="F72" i="6"/>
  <c r="F53" i="6"/>
  <c r="F52" i="6"/>
  <c r="F46" i="6"/>
  <c r="F49" i="6"/>
  <c r="AH43" i="11"/>
  <c r="AH35" i="11"/>
  <c r="I76" i="6"/>
  <c r="B39" i="14"/>
  <c r="F74" i="6"/>
  <c r="F68" i="6"/>
  <c r="F70" i="6"/>
  <c r="F66" i="6"/>
  <c r="F67" i="6"/>
  <c r="F75" i="6"/>
  <c r="AF42" i="11"/>
  <c r="AJ42" i="11"/>
  <c r="AK42" i="11"/>
  <c r="AF40" i="11"/>
  <c r="AJ40" i="11"/>
  <c r="AK40" i="11"/>
  <c r="AF38" i="11"/>
  <c r="AJ38" i="11"/>
  <c r="AK38" i="11"/>
  <c r="AF39" i="11"/>
  <c r="AJ39" i="11"/>
  <c r="AK39" i="11"/>
  <c r="AF41" i="11"/>
  <c r="AJ41" i="11"/>
  <c r="AK41" i="11"/>
  <c r="I68" i="6"/>
  <c r="I74" i="6"/>
  <c r="I66" i="6"/>
  <c r="I70" i="6"/>
  <c r="I78" i="6"/>
  <c r="I72" i="6"/>
  <c r="I69" i="6"/>
  <c r="I77" i="6"/>
  <c r="F71" i="6"/>
  <c r="F45" i="6"/>
  <c r="F47" i="6"/>
  <c r="F54" i="6"/>
  <c r="F55" i="6"/>
  <c r="F51" i="6"/>
  <c r="F44" i="6"/>
  <c r="F50" i="6"/>
  <c r="F57" i="6"/>
  <c r="F56" i="6"/>
  <c r="I67" i="6"/>
  <c r="F73" i="6"/>
  <c r="I71" i="6"/>
  <c r="F48" i="6"/>
  <c r="F65" i="6"/>
  <c r="I73" i="6"/>
  <c r="I79" i="6"/>
  <c r="E22" i="11"/>
  <c r="E21" i="11"/>
  <c r="AK43" i="11"/>
  <c r="AK35" i="11"/>
  <c r="L31" i="14"/>
  <c r="L30" i="14"/>
  <c r="L28" i="14"/>
  <c r="L32" i="14"/>
  <c r="L23" i="14"/>
  <c r="L34" i="14"/>
  <c r="L33" i="14"/>
  <c r="L29" i="14"/>
  <c r="L35" i="14"/>
  <c r="L21" i="14"/>
  <c r="L14" i="14"/>
  <c r="L36" i="14"/>
  <c r="L22" i="14"/>
  <c r="F79" i="6"/>
  <c r="G53" i="11"/>
  <c r="H53" i="11"/>
  <c r="G54" i="11"/>
  <c r="H54" i="11"/>
  <c r="G55" i="11"/>
  <c r="H55" i="11"/>
  <c r="G48" i="11"/>
  <c r="H48" i="11"/>
  <c r="G41" i="11"/>
  <c r="H41" i="11"/>
  <c r="G73" i="11"/>
  <c r="H73" i="11"/>
  <c r="G66" i="11"/>
  <c r="H66" i="11"/>
  <c r="G59" i="11"/>
  <c r="H59" i="11"/>
  <c r="G60" i="11"/>
  <c r="H60" i="11"/>
  <c r="R11" i="11"/>
  <c r="AB18" i="11"/>
  <c r="T18" i="11"/>
  <c r="X17" i="11"/>
  <c r="AB16" i="11"/>
  <c r="T16" i="11"/>
  <c r="X15" i="11"/>
  <c r="AB14" i="11"/>
  <c r="T14" i="11"/>
  <c r="X13" i="11"/>
  <c r="AB12" i="11"/>
  <c r="T12" i="11"/>
  <c r="X11" i="11"/>
  <c r="AB10" i="11"/>
  <c r="T10" i="11"/>
  <c r="G61" i="11"/>
  <c r="H61" i="11"/>
  <c r="G62" i="11"/>
  <c r="H62" i="11"/>
  <c r="G63" i="11"/>
  <c r="H63" i="11"/>
  <c r="G56" i="11"/>
  <c r="H56" i="11"/>
  <c r="G49" i="11"/>
  <c r="H49" i="11"/>
  <c r="G42" i="11"/>
  <c r="H42" i="11"/>
  <c r="H39" i="11"/>
  <c r="G67" i="11"/>
  <c r="H67" i="11"/>
  <c r="G68" i="11"/>
  <c r="H68" i="11"/>
  <c r="R17" i="11"/>
  <c r="R9" i="11"/>
  <c r="Z18" i="11"/>
  <c r="AD17" i="11"/>
  <c r="V17" i="11"/>
  <c r="Z16" i="11"/>
  <c r="AD15" i="11"/>
  <c r="V15" i="11"/>
  <c r="Z14" i="11"/>
  <c r="AD13" i="11"/>
  <c r="V13" i="11"/>
  <c r="Z12" i="11"/>
  <c r="G69" i="11"/>
  <c r="H69" i="11"/>
  <c r="G70" i="11"/>
  <c r="H70" i="11"/>
  <c r="G71" i="11"/>
  <c r="H71" i="11"/>
  <c r="G64" i="11"/>
  <c r="H64" i="11"/>
  <c r="G57" i="11"/>
  <c r="H57" i="11"/>
  <c r="G50" i="11"/>
  <c r="H50" i="11"/>
  <c r="G43" i="11"/>
  <c r="H43" i="11"/>
  <c r="G44" i="11"/>
  <c r="H44" i="11"/>
  <c r="R15" i="11"/>
  <c r="R7" i="11"/>
  <c r="X18" i="11"/>
  <c r="AB17" i="11"/>
  <c r="T17" i="11"/>
  <c r="X16" i="11"/>
  <c r="AB15" i="11"/>
  <c r="T15" i="11"/>
  <c r="X14" i="11"/>
  <c r="AB13" i="11"/>
  <c r="T13" i="11"/>
  <c r="X12" i="11"/>
  <c r="G47" i="11"/>
  <c r="H47" i="11"/>
  <c r="R16" i="11"/>
  <c r="AC18" i="11"/>
  <c r="AA17" i="11"/>
  <c r="AA16" i="11"/>
  <c r="Z15" i="11"/>
  <c r="Y14" i="11"/>
  <c r="Y13" i="11"/>
  <c r="W12" i="11"/>
  <c r="Z11" i="11"/>
  <c r="AC10" i="11"/>
  <c r="S10" i="11"/>
  <c r="W9" i="11"/>
  <c r="AA8" i="11"/>
  <c r="S8" i="11"/>
  <c r="W7" i="11"/>
  <c r="AA6" i="11"/>
  <c r="S6" i="11"/>
  <c r="W5" i="11"/>
  <c r="G46" i="11"/>
  <c r="H46" i="11"/>
  <c r="W18" i="11"/>
  <c r="U15" i="11"/>
  <c r="S13" i="11"/>
  <c r="V11" i="11"/>
  <c r="AB9" i="11"/>
  <c r="X8" i="11"/>
  <c r="T7" i="11"/>
  <c r="AB5" i="11"/>
  <c r="E29" i="2"/>
  <c r="E48" i="2"/>
  <c r="G51" i="11"/>
  <c r="H51" i="11"/>
  <c r="R14" i="11"/>
  <c r="AA18" i="11"/>
  <c r="Z17" i="11"/>
  <c r="Y16" i="11"/>
  <c r="Y15" i="11"/>
  <c r="W14" i="11"/>
  <c r="W13" i="11"/>
  <c r="V12" i="11"/>
  <c r="Y11" i="11"/>
  <c r="AA10" i="11"/>
  <c r="AD9" i="11"/>
  <c r="V9" i="11"/>
  <c r="Z8" i="11"/>
  <c r="AD7" i="11"/>
  <c r="V7" i="11"/>
  <c r="Z6" i="11"/>
  <c r="AD5" i="11"/>
  <c r="V5" i="11"/>
  <c r="W17" i="11"/>
  <c r="G72" i="11"/>
  <c r="H72" i="11"/>
  <c r="R13" i="11"/>
  <c r="Y18" i="11"/>
  <c r="Y17" i="11"/>
  <c r="W16" i="11"/>
  <c r="W15" i="11"/>
  <c r="V14" i="11"/>
  <c r="U13" i="11"/>
  <c r="U12" i="11"/>
  <c r="W11" i="11"/>
  <c r="Z10" i="11"/>
  <c r="AC9" i="11"/>
  <c r="U9" i="11"/>
  <c r="Y8" i="11"/>
  <c r="AC7" i="11"/>
  <c r="U7" i="11"/>
  <c r="Y6" i="11"/>
  <c r="AC5" i="11"/>
  <c r="U5" i="11"/>
  <c r="R12" i="11"/>
  <c r="V16" i="11"/>
  <c r="U14" i="11"/>
  <c r="S12" i="11"/>
  <c r="Y10" i="11"/>
  <c r="T9" i="11"/>
  <c r="AB7" i="11"/>
  <c r="X6" i="11"/>
  <c r="T5" i="11"/>
  <c r="G58" i="11"/>
  <c r="H58" i="11"/>
  <c r="R10" i="11"/>
  <c r="V18" i="11"/>
  <c r="U17" i="11"/>
  <c r="U16" i="11"/>
  <c r="S15" i="11"/>
  <c r="S14" i="11"/>
  <c r="AD12" i="11"/>
  <c r="AD11" i="11"/>
  <c r="U11" i="11"/>
  <c r="X10" i="11"/>
  <c r="AA9" i="11"/>
  <c r="S9" i="11"/>
  <c r="W8" i="11"/>
  <c r="AA7" i="11"/>
  <c r="S7" i="11"/>
  <c r="W6" i="11"/>
  <c r="AA5" i="11"/>
  <c r="S5" i="11"/>
  <c r="G65" i="11"/>
  <c r="H65" i="11"/>
  <c r="U18" i="11"/>
  <c r="AA15" i="11"/>
  <c r="AA12" i="11"/>
  <c r="W10" i="11"/>
  <c r="AB8" i="11"/>
  <c r="AC6" i="11"/>
  <c r="AC16" i="11"/>
  <c r="Y7" i="11"/>
  <c r="R6" i="11"/>
  <c r="Z13" i="11"/>
  <c r="AD8" i="11"/>
  <c r="Y5" i="11"/>
  <c r="AD18" i="11"/>
  <c r="AC12" i="11"/>
  <c r="AD10" i="11"/>
  <c r="AD6" i="11"/>
  <c r="X5" i="11"/>
  <c r="S18" i="11"/>
  <c r="AD14" i="11"/>
  <c r="Y12" i="11"/>
  <c r="V10" i="11"/>
  <c r="V8" i="11"/>
  <c r="AB6" i="11"/>
  <c r="AC15" i="11"/>
  <c r="AC8" i="11"/>
  <c r="AC17" i="11"/>
  <c r="AC14" i="11"/>
  <c r="AC11" i="11"/>
  <c r="U10" i="11"/>
  <c r="U8" i="11"/>
  <c r="V6" i="11"/>
  <c r="G40" i="11"/>
  <c r="H40" i="11"/>
  <c r="S17" i="11"/>
  <c r="AA14" i="11"/>
  <c r="AB11" i="11"/>
  <c r="Z9" i="11"/>
  <c r="T8" i="11"/>
  <c r="U6" i="11"/>
  <c r="R8" i="11"/>
  <c r="T11" i="11"/>
  <c r="X9" i="11"/>
  <c r="S11" i="11"/>
  <c r="R18" i="11"/>
  <c r="AD16" i="11"/>
  <c r="AC13" i="11"/>
  <c r="AA11" i="11"/>
  <c r="Y9" i="11"/>
  <c r="Z7" i="11"/>
  <c r="T6" i="11"/>
  <c r="G52" i="11"/>
  <c r="H52" i="11"/>
  <c r="AA13" i="11"/>
  <c r="Z5" i="11"/>
  <c r="G45" i="11"/>
  <c r="H45" i="11"/>
  <c r="S16" i="11"/>
  <c r="X7" i="11"/>
  <c r="F58" i="6"/>
  <c r="S18" i="14"/>
  <c r="E56" i="2"/>
  <c r="E50" i="2"/>
  <c r="E58" i="2"/>
  <c r="E52" i="2"/>
  <c r="E60" i="2"/>
  <c r="E55" i="2"/>
  <c r="E57" i="2"/>
  <c r="E59" i="2"/>
  <c r="E61" i="2"/>
  <c r="E49" i="2"/>
  <c r="E62" i="2"/>
  <c r="E51" i="2"/>
  <c r="E53" i="2"/>
  <c r="E54" i="2"/>
  <c r="S58" i="6"/>
  <c r="W43" i="6"/>
  <c r="S59" i="6"/>
  <c r="E63" i="2"/>
  <c r="E116" i="2"/>
  <c r="W44" i="6"/>
  <c r="U53" i="6"/>
  <c r="U52" i="6"/>
  <c r="U46" i="6"/>
  <c r="U49" i="6"/>
  <c r="U56" i="6"/>
  <c r="U45" i="6"/>
  <c r="U51" i="6"/>
  <c r="U54" i="6"/>
  <c r="U55" i="6"/>
  <c r="U57" i="6"/>
  <c r="U47" i="6"/>
  <c r="U48" i="6"/>
  <c r="U50" i="6"/>
  <c r="U44" i="6"/>
  <c r="W46" i="6"/>
  <c r="W49" i="6"/>
  <c r="W52" i="6"/>
  <c r="W53" i="6"/>
  <c r="W51" i="6"/>
  <c r="W50" i="6"/>
  <c r="W57" i="6"/>
  <c r="W47" i="6"/>
  <c r="W56" i="6"/>
  <c r="W55" i="6"/>
  <c r="W54" i="6"/>
  <c r="W48" i="6"/>
  <c r="W45" i="6"/>
  <c r="E64" i="2"/>
  <c r="E65" i="2"/>
  <c r="W58" i="6"/>
  <c r="E117" i="2"/>
  <c r="G142" i="2"/>
  <c r="I142" i="2"/>
  <c r="U59" i="6"/>
  <c r="E114" i="2"/>
  <c r="G131" i="2"/>
  <c r="I131" i="2"/>
  <c r="E121" i="2"/>
  <c r="G134" i="2"/>
  <c r="I134" i="2"/>
  <c r="G135" i="2"/>
  <c r="I135" i="2"/>
  <c r="E119" i="2"/>
  <c r="G133" i="2"/>
  <c r="I133" i="2"/>
</calcChain>
</file>

<file path=xl/sharedStrings.xml><?xml version="1.0" encoding="utf-8"?>
<sst xmlns="http://schemas.openxmlformats.org/spreadsheetml/2006/main" count="1446" uniqueCount="778">
  <si>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</si>
  <si>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</si>
  <si>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</si>
  <si>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</si>
  <si>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</si>
  <si>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</si>
  <si>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</si>
  <si>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</si>
  <si>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</si>
  <si>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</si>
  <si>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</si>
  <si>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</si>
  <si>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</si>
  <si>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</si>
  <si>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</si>
  <si>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</si>
  <si>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</si>
  <si>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</si>
  <si>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</si>
  <si>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</si>
  <si>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Name</t>
  </si>
  <si>
    <t>Description/Delete Row if Unused</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</si>
  <si>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</si>
  <si>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</si>
  <si>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</si>
  <si>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</si>
  <si>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</si>
  <si>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</si>
  <si>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</si>
  <si>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</si>
  <si>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</si>
  <si>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</si>
  <si>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</si>
  <si>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</si>
  <si>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</si>
  <si>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</si>
  <si>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</si>
  <si>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</si>
  <si>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</si>
  <si>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</si>
  <si>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</si>
  <si>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</si>
  <si>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</si>
  <si>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</si>
  <si>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</si>
  <si>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</si>
  <si>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</si>
  <si>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</si>
  <si>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</si>
  <si>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</si>
  <si>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</si>
  <si>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</si>
  <si>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</si>
  <si>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</si>
  <si>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</si>
  <si>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</si>
  <si>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</si>
  <si>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</si>
  <si>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</si>
  <si>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</si>
  <si>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</si>
  <si>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</si>
  <si>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</si>
  <si>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</si>
  <si>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</si>
  <si>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</si>
  <si>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</si>
  <si>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</si>
  <si>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</si>
  <si>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</si>
  <si>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</si>
  <si>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</si>
  <si>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</si>
  <si>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</si>
  <si>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</si>
  <si>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</si>
  <si>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</si>
  <si>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</si>
  <si>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</si>
  <si>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(Unspecified) [Water]</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</si>
  <si>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</si>
  <si>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</si>
  <si>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</si>
  <si>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</si>
  <si>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</si>
  <si>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</si>
  <si>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</si>
  <si>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</si>
  <si>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</si>
  <si>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</si>
  <si>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</si>
  <si>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</si>
  <si>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</si>
  <si>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</si>
  <si>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</si>
  <si>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</si>
  <si>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</si>
  <si>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</si>
  <si>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</si>
  <si>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</si>
  <si>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</si>
  <si>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</si>
  <si>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</si>
  <si>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</si>
  <si>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</si>
  <si>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</si>
  <si>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</si>
  <si>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</si>
  <si>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</si>
  <si>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</si>
  <si>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</si>
  <si>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</si>
  <si>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</si>
  <si>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</si>
  <si>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</si>
  <si>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</si>
  <si>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</si>
  <si>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</si>
  <si>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</si>
  <si>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</si>
  <si>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</si>
  <si>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</si>
  <si>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</si>
  <si>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</si>
  <si>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</si>
  <si>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</si>
  <si>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</si>
  <si>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</si>
  <si>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</si>
  <si>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</si>
  <si>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</si>
  <si>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</si>
  <si>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</si>
  <si>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</si>
  <si>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</si>
  <si>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</si>
  <si>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</si>
  <si>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</si>
  <si>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</si>
  <si>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</si>
  <si>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</si>
  <si>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</si>
  <si>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</si>
  <si>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</si>
  <si>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</si>
  <si>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</si>
  <si>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</si>
  <si>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</si>
  <si>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</si>
  <si>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</si>
  <si>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</si>
  <si>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</si>
  <si>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</si>
  <si>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</si>
  <si>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</si>
  <si>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</si>
  <si>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</si>
  <si>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</si>
  <si>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</si>
  <si>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</si>
  <si>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</si>
  <si>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</si>
  <si>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</si>
  <si>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</si>
  <si>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</si>
  <si>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</si>
  <si>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</si>
  <si>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</si>
  <si>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</si>
  <si>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</si>
  <si>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</si>
  <si>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</si>
  <si>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</si>
  <si>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</si>
  <si>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</si>
  <si>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</si>
  <si>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</si>
  <si>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</si>
  <si>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</si>
  <si>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</si>
  <si>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</si>
  <si>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</si>
  <si>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</si>
  <si>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</si>
  <si>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</si>
  <si>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</si>
  <si>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</si>
  <si>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</si>
  <si>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</si>
  <si>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</si>
  <si>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</si>
  <si>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</si>
  <si>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</si>
  <si>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</si>
  <si>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</si>
  <si>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</si>
  <si>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</si>
  <si>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</si>
  <si>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</si>
  <si>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</si>
  <si>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</si>
  <si>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</si>
  <si>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</si>
  <si>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</si>
  <si>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</si>
  <si>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</si>
  <si>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</si>
  <si>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</si>
  <si>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</si>
  <si>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</si>
  <si>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</si>
  <si>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</si>
  <si>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</si>
  <si>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</si>
  <si>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</si>
  <si>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</si>
  <si>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</si>
  <si>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</si>
  <si>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</si>
  <si>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</si>
  <si>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</si>
  <si>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</si>
  <si>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</si>
  <si>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</si>
  <si>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</si>
  <si>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</si>
  <si>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</si>
  <si>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</si>
  <si>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</si>
  <si>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</si>
  <si>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</si>
  <si>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</si>
  <si>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</si>
  <si>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</si>
  <si>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</si>
  <si>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</si>
  <si>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</si>
  <si>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</si>
  <si>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Rare earths solvent extraction</t>
  </si>
  <si>
    <t>http://www.quinnprocess.com/QPECBrochures/12-SolventExtraction(MixerSettler)/QPEC-Brochure-txt_SX001.pdf</t>
  </si>
  <si>
    <t>Model No.</t>
  </si>
  <si>
    <t>Mixing volume</t>
  </si>
  <si>
    <t>Total flow (gpm)</t>
  </si>
  <si>
    <t>Motor HP</t>
  </si>
  <si>
    <t>Predicted HP</t>
  </si>
  <si>
    <t>Lower 95%</t>
  </si>
  <si>
    <t>Upper 95%</t>
  </si>
  <si>
    <t>Delta upper-lower</t>
  </si>
  <si>
    <t>Total flow (l/s)</t>
  </si>
  <si>
    <t>motor power (kW)</t>
  </si>
  <si>
    <t>SUMMARY OUTPUT</t>
  </si>
  <si>
    <t>Mixer Settler Electricity factors</t>
  </si>
  <si>
    <t>low</t>
  </si>
  <si>
    <t>HP/gpm</t>
  </si>
  <si>
    <t>kJ/l</t>
  </si>
  <si>
    <t>Wh/l</t>
  </si>
  <si>
    <t>Regression Statistics</t>
  </si>
  <si>
    <t>expected</t>
  </si>
  <si>
    <t>Multiple R</t>
  </si>
  <si>
    <t>high</t>
  </si>
  <si>
    <t>R Square</t>
  </si>
  <si>
    <t>Adjusted R Square</t>
  </si>
  <si>
    <t>Standard Error</t>
  </si>
  <si>
    <t>Observations</t>
  </si>
  <si>
    <t>ANOVA</t>
  </si>
  <si>
    <t>df</t>
  </si>
  <si>
    <t>SS</t>
  </si>
  <si>
    <t>MS</t>
  </si>
  <si>
    <t>F</t>
  </si>
  <si>
    <t>Significance F</t>
  </si>
  <si>
    <t>Regression</t>
  </si>
  <si>
    <t>Residual</t>
  </si>
  <si>
    <t>Coefficients</t>
  </si>
  <si>
    <t>t Stat</t>
  </si>
  <si>
    <t>P-value</t>
  </si>
  <si>
    <t>Lower 95.0%</t>
  </si>
  <si>
    <t>Upper 95.0%</t>
  </si>
  <si>
    <t>Intercept</t>
  </si>
  <si>
    <t>X Variable 1</t>
  </si>
  <si>
    <t>RESIDUAL OUTPUT</t>
  </si>
  <si>
    <t>Observation</t>
  </si>
  <si>
    <t>Predicted Y</t>
  </si>
  <si>
    <t>Residuals</t>
  </si>
  <si>
    <t>Standard Residuals</t>
  </si>
  <si>
    <t>motor_factor</t>
  </si>
  <si>
    <t>extract_stages</t>
  </si>
  <si>
    <t>scrub_stages</t>
  </si>
  <si>
    <t>strip_stages</t>
  </si>
  <si>
    <t>StatTools Version that generated sheet, Major</t>
  </si>
  <si>
    <t>StatTools Version that generated sheet, Minor</t>
  </si>
  <si>
    <t>StatTools Version that generated sheet, Revision</t>
  </si>
  <si>
    <t>Min. StatTools Version to Read Sheet, Major (note ST versions before 1.1.1 don't perform forward compatibility check)</t>
  </si>
  <si>
    <t>Min. StatTools Version to Read Sheet, Minor</t>
  </si>
  <si>
    <t>Min. StatTools Version to Read Sheet, Revision</t>
  </si>
  <si>
    <t>Min. StatTools version to not put up warning about extra info, Major</t>
  </si>
  <si>
    <t>Min. StatTools version to not put up warning about extra info, Minor</t>
  </si>
  <si>
    <t>Min. StatTools version to not put up warning about extra info, Revision</t>
  </si>
  <si>
    <t>Data Set #1</t>
  </si>
  <si>
    <t>GUID</t>
  </si>
  <si>
    <t>DG383A3BC0</t>
  </si>
  <si>
    <t>Format Range</t>
  </si>
  <si>
    <t>Variable Layout</t>
  </si>
  <si>
    <t>Columns</t>
  </si>
  <si>
    <t>Variable Names In Cells</t>
  </si>
  <si>
    <t>Variable Names In 2nd Cells</t>
  </si>
  <si>
    <t>Data Set Ranges</t>
  </si>
  <si>
    <t>Data Sheet Format</t>
  </si>
  <si>
    <t>Formula Eval Cell</t>
  </si>
  <si>
    <t>Num Stored Vars</t>
  </si>
  <si>
    <t>1 : Info</t>
  </si>
  <si>
    <t>VG1D44CEF615C2DC14</t>
  </si>
  <si>
    <t>ST_Totalflowgpm</t>
  </si>
  <si>
    <t>1 : Ranges</t>
  </si>
  <si>
    <t>1 : MultiRefs</t>
  </si>
  <si>
    <t>2 : Info</t>
  </si>
  <si>
    <t>VGC5E36873A1078A5</t>
  </si>
  <si>
    <t>Motor power (HP)</t>
  </si>
  <si>
    <t>ST_MotorpowerHP</t>
  </si>
  <si>
    <t>2 : Ranges</t>
  </si>
  <si>
    <t>2 : MultiRefs</t>
  </si>
  <si>
    <t>Bastnaesite Composition</t>
  </si>
  <si>
    <t>Fraction rare earth oxide per kg of total REO</t>
  </si>
  <si>
    <t>Moles of rare earth in oxide</t>
  </si>
  <si>
    <t>Moles of oxygen in oxide</t>
  </si>
  <si>
    <t>molar mass of oxide</t>
  </si>
  <si>
    <t>Reference [10]</t>
  </si>
  <si>
    <t>CeO₂</t>
  </si>
  <si>
    <t>kg/kg</t>
  </si>
  <si>
    <t>g/mol</t>
  </si>
  <si>
    <t>Carbon</t>
  </si>
  <si>
    <t>La₂O₃</t>
  </si>
  <si>
    <t>Oxygen</t>
  </si>
  <si>
    <t>Pr₆O₁₁</t>
  </si>
  <si>
    <t>Fluorine</t>
  </si>
  <si>
    <t>Nd₂O₃</t>
  </si>
  <si>
    <t>Sodium</t>
  </si>
  <si>
    <t>Sm₂O₃</t>
  </si>
  <si>
    <t>Hydrogen</t>
  </si>
  <si>
    <t>Eu₂O₃</t>
  </si>
  <si>
    <t>Chloride</t>
  </si>
  <si>
    <t>Gd₂O₃</t>
  </si>
  <si>
    <t>Nitrogen</t>
  </si>
  <si>
    <t>Tb₄O₇</t>
  </si>
  <si>
    <t>Calcium</t>
  </si>
  <si>
    <t>Dy₂O₃</t>
  </si>
  <si>
    <t>FO</t>
  </si>
  <si>
    <t>Ho₂O₃</t>
  </si>
  <si>
    <t>F3</t>
  </si>
  <si>
    <t>Er₂O₃</t>
  </si>
  <si>
    <t>Ce</t>
  </si>
  <si>
    <t>Tm₂O₃</t>
  </si>
  <si>
    <t>La</t>
  </si>
  <si>
    <t>Yb₂O₃</t>
  </si>
  <si>
    <t>Pr</t>
  </si>
  <si>
    <t>Lu₂O₃</t>
  </si>
  <si>
    <t>Nd</t>
  </si>
  <si>
    <t>Y₂O₃</t>
  </si>
  <si>
    <t>Sm</t>
  </si>
  <si>
    <t>Eu</t>
  </si>
  <si>
    <t>Moles per mol of total RE moles</t>
  </si>
  <si>
    <t>Mass per mol of total RE moles</t>
  </si>
  <si>
    <t>Gd</t>
  </si>
  <si>
    <t>mol/mol_mix</t>
  </si>
  <si>
    <t>g/mol_mix</t>
  </si>
  <si>
    <t>Tb</t>
  </si>
  <si>
    <t>mol</t>
  </si>
  <si>
    <t>Dy</t>
  </si>
  <si>
    <t>Ho</t>
  </si>
  <si>
    <t>Er</t>
  </si>
  <si>
    <t>Tm</t>
  </si>
  <si>
    <t>Yb</t>
  </si>
  <si>
    <t>Lu</t>
  </si>
  <si>
    <t>Y</t>
  </si>
  <si>
    <t>Sulfur</t>
  </si>
  <si>
    <t>Phosphorous</t>
  </si>
  <si>
    <t>FCO3</t>
  </si>
  <si>
    <t>H2SO4 MW</t>
  </si>
  <si>
    <t>kg/mol</t>
  </si>
  <si>
    <t>NaOH MW</t>
  </si>
  <si>
    <t>molar mass</t>
  </si>
  <si>
    <t>CO2 MW</t>
  </si>
  <si>
    <t>kg per kg of bastnaesite</t>
  </si>
  <si>
    <t>moles per kg of bastnaesite</t>
  </si>
  <si>
    <t>wtd MW</t>
  </si>
  <si>
    <t>kg/kg_bast</t>
  </si>
  <si>
    <t>HCl MW</t>
  </si>
  <si>
    <t>H2O MW</t>
  </si>
  <si>
    <t>H3PO4</t>
  </si>
  <si>
    <t>Na3PO4</t>
  </si>
  <si>
    <t>HF MW</t>
  </si>
  <si>
    <t>Weighted molar wieght</t>
  </si>
  <si>
    <t>Total less CE</t>
  </si>
  <si>
    <t>kg La-Y/kg_bast</t>
  </si>
  <si>
    <t>mass RECl₃ per kg total REO</t>
  </si>
  <si>
    <t>Fraction of total RECl₃</t>
  </si>
  <si>
    <t>kg/kg RECl₃</t>
  </si>
  <si>
    <t>CeCl₃</t>
  </si>
  <si>
    <t>LaCl₃</t>
  </si>
  <si>
    <t>PrCl₃</t>
  </si>
  <si>
    <t>NdCl₃</t>
  </si>
  <si>
    <t>SmCl₃</t>
  </si>
  <si>
    <t>EuCl₃</t>
  </si>
  <si>
    <t>GdCl₃</t>
  </si>
  <si>
    <t>TbCl₃</t>
  </si>
  <si>
    <t>DyCl₃</t>
  </si>
  <si>
    <t>HoCl₃</t>
  </si>
  <si>
    <t>ErCl₃</t>
  </si>
  <si>
    <t>TmCl₃</t>
  </si>
  <si>
    <t>YbCl₃</t>
  </si>
  <si>
    <t>LuCl₃</t>
  </si>
  <si>
    <t>YCl₃</t>
  </si>
  <si>
    <t>Percent of mix with Cerium</t>
  </si>
  <si>
    <t>Percent of mix without Cerium</t>
  </si>
  <si>
    <t>Total mass without cerium</t>
  </si>
  <si>
    <t>Total mass with cerium</t>
  </si>
  <si>
    <t>kg/kg RECl₃∙H₂O</t>
  </si>
  <si>
    <t>rare earth chloride concentrate</t>
  </si>
  <si>
    <t>[Technosphere] Reference flow - rare earth chloride hydrate concentrate</t>
  </si>
  <si>
    <t>recovery_rate</t>
  </si>
  <si>
    <t>solvent_loss</t>
  </si>
  <si>
    <t>kg/stage</t>
  </si>
  <si>
    <t>[Wh/l] Motor electricity for each mixer settler stage</t>
  </si>
  <si>
    <t>[stages] Number of scrubbing stages</t>
  </si>
  <si>
    <t>[stages] Number of stripping stages</t>
  </si>
  <si>
    <t>[kg/kg] kg of rare earth chloride recovered per kg rare earth chloride input</t>
  </si>
  <si>
    <t>[kg/kg] kg of solvent lost for each mixer settler stage</t>
  </si>
  <si>
    <t>La_Ce_factor</t>
  </si>
  <si>
    <t>Ce_Pr_factor</t>
  </si>
  <si>
    <t>Pr_Nd_factor</t>
  </si>
  <si>
    <t>Nd_Sm_factor</t>
  </si>
  <si>
    <t>stages</t>
  </si>
  <si>
    <t>factor</t>
  </si>
  <si>
    <t>x^b</t>
  </si>
  <si>
    <t>a</t>
  </si>
  <si>
    <t>b</t>
  </si>
  <si>
    <t>ln(fi)</t>
  </si>
  <si>
    <t>(ln(yi)-ln(fi))^2</t>
  </si>
  <si>
    <t>yi</t>
  </si>
  <si>
    <t>x</t>
  </si>
  <si>
    <t>x'</t>
  </si>
  <si>
    <t>ln(x')</t>
  </si>
  <si>
    <t>ln(yi)</t>
  </si>
  <si>
    <t>fi</t>
  </si>
  <si>
    <t>(ln(yi)-avg(ln(yi)))^2</t>
  </si>
  <si>
    <t>R2</t>
  </si>
  <si>
    <t>offset</t>
  </si>
  <si>
    <t>A relationship between the separation factor and the number of extraction stages is expected. The higher the separation factor, the fewer stages that should be needed to separate the next highest and higher rare earth chlorides from the target rare earth. An asymptote must exist at 1...at least 1 extraction stage is needed. We'll assume that 2 extraction stages are needed as the separation factor approaches infinity. Also, the maximum number of stages is assumed to be infinite if the extraction factor is equal to 1. A starting equation to give this sort of relationship is: stages = a*x^b. Using this, we'll assume that the lowest separation factor in the table above results in 20 extraction stages. Anything with a separation factor of 200 or above results in 2 stages. Additionally, we make guesses that separation factors of 5, 3, and 2 will need 5, 6, and 7 stages, respectively. The equation that gives a good correlation to these desired numbers: stages = 6.416399*(sepfactor - 1)^-0.31163 + 0.77</t>
  </si>
  <si>
    <t>Sm_Eu_factor</t>
  </si>
  <si>
    <t>Eu_Gd_factor</t>
  </si>
  <si>
    <t>Gd_Tb_factor</t>
  </si>
  <si>
    <t>Tb_Dy_factor</t>
  </si>
  <si>
    <t>Dy_Ho_factor</t>
  </si>
  <si>
    <t>Ho_Er_factor</t>
  </si>
  <si>
    <t>Er_Tm_factor</t>
  </si>
  <si>
    <t>Tm_Yb_factor</t>
  </si>
  <si>
    <t>auto_ext_stage</t>
  </si>
  <si>
    <t>[binary] Automatically calculate number of extraction stages</t>
  </si>
  <si>
    <t>[stages] Number of extraction stages - manual</t>
  </si>
  <si>
    <t>man_ext_stages</t>
  </si>
  <si>
    <t>ROUND(auto_ext_stage*(Ce_ext_stages+La_ext_stages+Pr_ext_stages+Nd_ext_stages+Sm_ext_stages+Eu_ext_stages+Gd_ext_stages+Tb_ext_stages+Dy_ext_stages+Ho_ext_stages+Er_ext_stages+Tm_ext_stages+Yb_ext_stages+Lu_ext_stages+Y_ext_stages);0)+(1-auto_ext_stage)*man_ext_stages</t>
  </si>
  <si>
    <t>total_stages</t>
  </si>
  <si>
    <t>a_coeff</t>
  </si>
  <si>
    <t>b_coeff</t>
  </si>
  <si>
    <t>c_coeff</t>
  </si>
  <si>
    <t>Ce_out*(a_coeff*((La_Ce_factor-1)^b_coeff+(Ce_Pr_factor-1)^b_coeff)+2*c_coeff)</t>
  </si>
  <si>
    <t>Pr_out*(a_coeff*((Ce_Pr_factor-1)^b_coeff+(Pr_Nd_factor-1)^b_coeff)+2*c_coeff)</t>
  </si>
  <si>
    <t>Nd_out*(a_coeff*((Pr_Nd_factor-1)^b_coeff+(Nd_Sm_factor-1)^b_coeff)+2*c_coeff)</t>
  </si>
  <si>
    <t>Sm_out*(a_coeff*((Nd_Sm_factor-1)^b_coeff+(Sm_Eu_factor-1)^b_coeff)+2*c_coeff)</t>
  </si>
  <si>
    <t>Eu_out*(a_coeff*((Sm_Eu_factor-1)^b_coeff+(Eu_Gd_factor-1)^b_coeff)+2*c_coeff)</t>
  </si>
  <si>
    <t>Gd_out*(a_coeff*((Eu_Gd_factor-1)^b_coeff+(Gd_Tb_factor-1)^b_coeff)+2*c_coeff)</t>
  </si>
  <si>
    <t>Tb_out*(a_coeff*((Gd_Tb_factor-1)^b_coeff+(Tb_Dy_factor-1)^b_coeff)+2*c_coeff)</t>
  </si>
  <si>
    <t>Dy_out*(a_coeff*((Tb_Dy_factor-1)^b_coeff+(Dy_Ho_factor-1)^b_coeff)+2*c_coeff)</t>
  </si>
  <si>
    <t>Tm_out*(a_coeff*((Er_Tm_factor-1)^b_coeff+(Tm_Yb_factor-1)^b_coeff)+2*c_coeff)</t>
  </si>
  <si>
    <t>mixer_elec</t>
  </si>
  <si>
    <t>Ce_conc*Ce_out*recovery_rate</t>
  </si>
  <si>
    <t>La_conc*La_out*recovery_rate</t>
  </si>
  <si>
    <t>Pr_conc*Pr_out*recovery_rate</t>
  </si>
  <si>
    <t>Nd_conc*Nd_out*recovery_rate</t>
  </si>
  <si>
    <t>Sm_conc*Sm_out*recovery_rate</t>
  </si>
  <si>
    <t>Eu_conc*Eu_out*recovery_rate</t>
  </si>
  <si>
    <t>Gd_conc*Gd_out*recovery_rate</t>
  </si>
  <si>
    <t>Tb_conc*Tb_out*recovery_rate</t>
  </si>
  <si>
    <t>Dy_conc*Dy_out*recovery_rate</t>
  </si>
  <si>
    <t>Ho_conc*Ho_out*recovery_rate</t>
  </si>
  <si>
    <t>Er_conc*Er_out*recovery_rate</t>
  </si>
  <si>
    <t>Tm_conc*Tm_out*recovery_rate</t>
  </si>
  <si>
    <t>Yb_conc*Yb_out*recovery_rate</t>
  </si>
  <si>
    <t>Lu_conc*Lu_out*recovery_rate</t>
  </si>
  <si>
    <t>Y_conc*Y_out*recovery_rate</t>
  </si>
  <si>
    <t>extract_stages+scrub_stages+strip_stages</t>
  </si>
  <si>
    <t>water_in</t>
  </si>
  <si>
    <t>mix_perc_h2o</t>
  </si>
  <si>
    <t>[kg/kg] kg of rare earth concentrate per kg of concentrate/water mix</t>
  </si>
  <si>
    <t>Wh</t>
  </si>
  <si>
    <t>[Wh/kg] Total mixer electricity per kg of rare earth chloride concentrate input (assumes same volume of fluid for all stages)</t>
  </si>
  <si>
    <t>N/A</t>
  </si>
  <si>
    <t>solvent_lost</t>
  </si>
  <si>
    <t xml:space="preserve">[kg/kg] kg of solvent lost </t>
  </si>
  <si>
    <t>solvent_loss*total_stages</t>
  </si>
  <si>
    <t>di-(2-ethylhexyl)phosphoric acid solvent</t>
  </si>
  <si>
    <t>[Technosphere] Makeup solvent</t>
  </si>
  <si>
    <t>[kg/kg] mass of water that is combined with rare earth chloride concentrate input</t>
  </si>
  <si>
    <t>[dimensionless] coeffieicnt 'a' for extraction stage calculation (y=ax^b+c)</t>
  </si>
  <si>
    <t>[dimensionless] coeffieicnt 'b' for extraction stage calculation (y=ax^b+c)</t>
  </si>
  <si>
    <t>[dimensionless] coeffieicnt 'c' for extraction stage calculation (y=ax^b+c)</t>
  </si>
  <si>
    <t>[dimensionless] Number of stages to separate Ce from La and Pr (auto calc)</t>
  </si>
  <si>
    <t>[dimensionless] Number of stages to separate La from Y and Ce (auto calc)</t>
  </si>
  <si>
    <t>[dimensionless] Number of stages to separate Pr from Ce and Nd (auto calc)</t>
  </si>
  <si>
    <t>[dimensionless] Number of stages to separate Nd from Pr and Sm (auto calc)</t>
  </si>
  <si>
    <t>[dimensionless] Number of stages to separate Sm from Nd and Eu (auto calc)</t>
  </si>
  <si>
    <t>[dimensionless] Number of stages to separate Eu from Sm and Gd (auto calc)</t>
  </si>
  <si>
    <t>[dimensionless] Number of stages to separate Gd from Eu and Tb (auto calc)</t>
  </si>
  <si>
    <t>[dimensionless] Number of stages to separate Tb from Gd and Dy (auto calc)</t>
  </si>
  <si>
    <t>[dimensionless] Number of stages to separate Dy from Tb and Ho (auto calc)</t>
  </si>
  <si>
    <t>[dimensionless] Number of stages to separate Ho from Dy and Er (auto calc)</t>
  </si>
  <si>
    <t>[dimensionless] Number of stages to separate Er from Ho and Tm (auto calc)</t>
  </si>
  <si>
    <t>[dimensionless] Number of stages to separate Tm from Er and Yb (auto calc)</t>
  </si>
  <si>
    <t>[dimensionless] Number of stages to separate Yb from Tm and Lu (auto calc)</t>
  </si>
  <si>
    <t>[dimensionless] Number of stages to separate Lu from Yb and lower (auto calc)</t>
  </si>
  <si>
    <t>[dimensionless] Number of stages to separate Y from La and higher (auto calc)</t>
  </si>
  <si>
    <t>[dimensionless] Number of extraction stages (auto calc)</t>
  </si>
  <si>
    <t>[dimensionless] Total number of mixer settler stages to extract a single rare earthy chloride</t>
  </si>
  <si>
    <t>water_out</t>
  </si>
  <si>
    <t>water_loss_f</t>
  </si>
  <si>
    <t>water_lost</t>
  </si>
  <si>
    <t>[kg/kg] kg of water lost to organic phase per extraction stage</t>
  </si>
  <si>
    <t>[kg/kg] kg of water lost to organic phase</t>
  </si>
  <si>
    <t>Water, to treatment</t>
  </si>
  <si>
    <t>[kg/kg] kg of water lost per kg of rare earth chloride concentrate input</t>
  </si>
  <si>
    <t>water_in-water_lost</t>
  </si>
  <si>
    <t>water_loss_f*extract_stages</t>
  </si>
  <si>
    <t>Extractive Metallurgy of Rare Earths</t>
  </si>
  <si>
    <t>Gupta, C.K.</t>
  </si>
  <si>
    <t>N. Krishnamurthy</t>
  </si>
  <si>
    <t>2005</t>
  </si>
  <si>
    <t>Boca Raton, FL.</t>
  </si>
  <si>
    <t>CRC Press</t>
  </si>
  <si>
    <t>Gupta and Krishnamurthy (2005). Extractive Metallurgy of Rare Eaths. Boca Raton, FL: CRC Press.</t>
  </si>
  <si>
    <t>http://pubchem.ncbi.nlm.nih.gov/summary/summary.cgi?cid=9275</t>
  </si>
  <si>
    <t>Distribution Behavior of L-Phenylalanine by Extraction with Di(2-Ethylhexyl) Phosphoric Acid</t>
  </si>
  <si>
    <t>National Center for Biotechnology Information</t>
  </si>
  <si>
    <t>PubChem Compound Database: CID=9275</t>
  </si>
  <si>
    <t>Yes</t>
  </si>
  <si>
    <t>rare earth chloride concentrate input</t>
  </si>
  <si>
    <t>[Waste flow] Water to treatment</t>
  </si>
  <si>
    <t>[Resource] Water to mix with dry rare earth chloride hydrate concentrate</t>
  </si>
  <si>
    <t>National Center for Biotechnology Information (2014). PubChem Compound Database: CID=9275. Retreived May 21, 2014 from http://pubchem.ncbi.nlm.nih.gov/summary/summary.cgi?cid=9275</t>
  </si>
  <si>
    <t>2014</t>
  </si>
  <si>
    <t>5/21/2014</t>
  </si>
  <si>
    <t>Separation Science and Technology</t>
  </si>
  <si>
    <t>34</t>
  </si>
  <si>
    <t>11</t>
  </si>
  <si>
    <t>Liu, Yang-Sheng</t>
  </si>
  <si>
    <t>Dai, You-Yuan and Jia-Ding, Wang</t>
  </si>
  <si>
    <t>1999</t>
  </si>
  <si>
    <t>Taylor &amp; Francis</t>
  </si>
  <si>
    <t>London</t>
  </si>
  <si>
    <r>
      <t xml:space="preserve">Liu, Y.-S., Dai, Y.-Y., and Jia-Ding, W. (1999). Distribution Behavior of L-Phenylalanine by Extraction with Di(2-Ethylhexyl) Phosphoric Acid. </t>
    </r>
    <r>
      <rPr>
        <i/>
        <sz val="10"/>
        <rFont val="Arial"/>
        <family val="2"/>
      </rPr>
      <t>Separation Science and Technology, 34(11).</t>
    </r>
    <r>
      <rPr>
        <sz val="10"/>
        <rFont val="Arial"/>
        <family val="2"/>
      </rPr>
      <t xml:space="preserve">London: Taylor &amp; Francis. </t>
    </r>
  </si>
  <si>
    <t>Study mixes D2EHPA in n-octane at 0.745-1.787 mol/L</t>
  </si>
  <si>
    <t>Reference [1]</t>
  </si>
  <si>
    <t>Quinn Process Equipment Co.</t>
  </si>
  <si>
    <t>Quinn Mixer-Settler SX Units for Pilot Plant and Commercial Solvent Extraction Applications</t>
  </si>
  <si>
    <t>2010</t>
  </si>
  <si>
    <t>Denver, CO</t>
  </si>
  <si>
    <t>Quinn Process Equipment Co. (2010). Quinn Mixer-Settler SX Units for Pilot Plant and Commercial Solvent Extraction Applications. Denver, CO: Quinn Process Equipment Co. Retrieved May 21, 2014 from http://www.quinnprocess.com/QPECBrochures/12-SolventExtraction(MixerSettler)/QPEC-Brochure-txt_SX001.pdf</t>
  </si>
  <si>
    <t>Engineering Study for Re-Start of the Mountain Pass Mine and Processing Facility</t>
  </si>
  <si>
    <t>Molycorp Minerals, LLC</t>
  </si>
  <si>
    <t>Mountain Pass, CA</t>
  </si>
  <si>
    <t xml:space="preserve">Molycorp Minerals, LLC (2010). Engineering Study for Re-Start of the Mountain Pass Mine and Processing Facility. Mountain Pass, CA: Molycorp Minerals, LLC. Retrieved May 21, 2014 from </t>
  </si>
  <si>
    <t>http://www.sec.gov/Archives/edgar/data/1489137/000095012310065239/d74323fwfwp.htm</t>
  </si>
  <si>
    <t>Separation plant will recover 98% of REO from the extraction plant and impurities removal will result in an additional loss of 2% of the REO.</t>
  </si>
  <si>
    <t>Historical Production Level</t>
  </si>
  <si>
    <t>ton/yr</t>
  </si>
  <si>
    <t>Separations Plant</t>
  </si>
  <si>
    <t>Nalco 7427 defoamer</t>
  </si>
  <si>
    <t>lbs</t>
  </si>
  <si>
    <t>kg/yr</t>
  </si>
  <si>
    <t>DEHPA</t>
  </si>
  <si>
    <t>Hydrochloric acid</t>
  </si>
  <si>
    <t>Kerosene</t>
  </si>
  <si>
    <t>gal</t>
  </si>
  <si>
    <t>Nalco 7871</t>
  </si>
  <si>
    <t>Nalco 634 Water separator</t>
  </si>
  <si>
    <t>hydrogen peroxide</t>
  </si>
  <si>
    <t>Sodium hydrosulfide (24%)</t>
  </si>
  <si>
    <t>Sodium hydrosulfide</t>
  </si>
  <si>
    <t>Oxalic acid</t>
  </si>
  <si>
    <t>Furnace oil</t>
  </si>
  <si>
    <t>Sodium hydroxide (50%)</t>
  </si>
  <si>
    <t>Sodium hydroxide</t>
  </si>
  <si>
    <t>Lime</t>
  </si>
  <si>
    <t>Superfloc 107</t>
  </si>
  <si>
    <t>Lime kiln dust</t>
  </si>
  <si>
    <t>Potassium chloride</t>
  </si>
  <si>
    <t>Urea (Prilled)</t>
  </si>
  <si>
    <t>Soda ash</t>
  </si>
  <si>
    <t>Borax</t>
  </si>
  <si>
    <t>Barium chloride</t>
  </si>
  <si>
    <t>Average REO content</t>
  </si>
  <si>
    <t>Average REO milled</t>
  </si>
  <si>
    <t>Average REO recovery rate</t>
  </si>
  <si>
    <t>Average REO recovered (into separation)</t>
  </si>
  <si>
    <t>kg/kg REO into separations</t>
  </si>
  <si>
    <t>kg/kg rare earth chloride hydrate input</t>
  </si>
  <si>
    <t>To get the total DEHPA lost to equal that of the Mountain Pass facility for 1996, we set the loss rate so that 0.00157 kg of DEHPA are lost for all 576 stages:</t>
  </si>
  <si>
    <t>loss rate</t>
  </si>
  <si>
    <t>kg DEHPA/stage</t>
  </si>
  <si>
    <t>lb</t>
  </si>
  <si>
    <t>A-400 DRAFT Inventory of U.S. Greenhouse Gas Emissions and Sinks: 1990–2012</t>
  </si>
  <si>
    <t>U.S. Environmental Protection Agency</t>
  </si>
  <si>
    <t>Washington, DC</t>
  </si>
  <si>
    <t>EPA</t>
  </si>
  <si>
    <t>http://www.epa.gov/climatechange/Downloads/ghgemissions/US-GHG-Inventory-2014-Annex-6-Additional-Information.pdf</t>
  </si>
  <si>
    <t>March 25, 2014</t>
  </si>
  <si>
    <t>U.S. Environmental Protection Agency (2014). A-400 DRAFT Inventory of U.S. Greenhouse Gas Emissions and Sinks: 1990-2012. EPA. Washington, DC. http://www.epa.gov/climatechange/Downloads/ghgemissions/US-GHG-Inventory-2014-Annex-6-Additional-Information.pdf. Last Accessed: March 25, 2014</t>
  </si>
  <si>
    <t>kg kerosene</t>
  </si>
  <si>
    <t>L</t>
  </si>
  <si>
    <t>[7]</t>
  </si>
  <si>
    <t>kerosene_in</t>
  </si>
  <si>
    <t>[kg/kg] kg of kerosene lost along with solvent</t>
  </si>
  <si>
    <t>kerosene_loss</t>
  </si>
  <si>
    <t>kerosene_loss*total_stages</t>
  </si>
  <si>
    <t>[kg/stage] Loss of kerosene per stage</t>
  </si>
  <si>
    <t>REO per kg of Rare earth chloride concentrate</t>
  </si>
  <si>
    <t>Hydrochloric acid in the "separations" plant is assumed to be primarily consumed by the leaching/calcination process.</t>
  </si>
  <si>
    <t>Hyrdoxylamine hydrochloride</t>
  </si>
  <si>
    <t>Lime is assumed to primarily be used in the process to create oxides (Reference [2])</t>
  </si>
  <si>
    <t>Soda ash is assumed to primarily be used in the process to create oxides from separated salts (pH adjustment for precipitation) (Reference [2])</t>
  </si>
  <si>
    <t>Oxalic acid is used in the process to create oxides from separated salts (Reference [2])</t>
  </si>
  <si>
    <t>Sodium hydrosulfide is assumed to primarily be used to precipitate rare earths out of raffinate (Reference [2]). Considered outside the scope of this UP</t>
  </si>
  <si>
    <t>Used to saponify the DEHPA.</t>
  </si>
  <si>
    <t>naoh_loss</t>
  </si>
  <si>
    <t>naoh_in</t>
  </si>
  <si>
    <t>[kg/stage] Loss of cuastic soda per stage</t>
  </si>
  <si>
    <t>[kg/kg] kg of caustic soda required</t>
  </si>
  <si>
    <t>[Resource] Kerosene to mix with solvent</t>
  </si>
  <si>
    <t>[Resource] Caustic soda</t>
  </si>
  <si>
    <t>naoh_loss*total_stages</t>
  </si>
  <si>
    <t>Rounded</t>
  </si>
  <si>
    <t>Molycorp Europium extraction</t>
  </si>
  <si>
    <t>Extraction 1 with 10% HDEHP</t>
  </si>
  <si>
    <t>Extraction 2</t>
  </si>
  <si>
    <t>Gd extraction</t>
  </si>
  <si>
    <t>Gd stripping</t>
  </si>
  <si>
    <t>Indian rare earths</t>
  </si>
  <si>
    <t>extraction 1</t>
  </si>
  <si>
    <t>scrubbed 1</t>
  </si>
  <si>
    <t>stripped 1</t>
  </si>
  <si>
    <t>extraction 2</t>
  </si>
  <si>
    <t>16-18</t>
  </si>
  <si>
    <t>scrubbing 2</t>
  </si>
  <si>
    <t>18-20</t>
  </si>
  <si>
    <t>stripping 2</t>
  </si>
  <si>
    <t>Cerium</t>
  </si>
  <si>
    <t>stripping 1</t>
  </si>
  <si>
    <t>scrubbing 1</t>
  </si>
  <si>
    <t>Phalaborwa</t>
  </si>
  <si>
    <t>stripping</t>
  </si>
  <si>
    <t>cerium raffinate extraction</t>
  </si>
  <si>
    <t>Stripping 2</t>
  </si>
  <si>
    <t>Raffinate heavy RE extraction 1</t>
  </si>
  <si>
    <t>scrubbing</t>
  </si>
  <si>
    <t>2-4</t>
  </si>
  <si>
    <t>6-8</t>
  </si>
  <si>
    <t>Megon - RE sulfate</t>
  </si>
  <si>
    <t>Extraction La, Ce, Pr(Nd), non RE</t>
  </si>
  <si>
    <t>Scrubbing Nd, Sm (Gd,Tb)</t>
  </si>
  <si>
    <t>Scrubbing</t>
  </si>
  <si>
    <t>Stripping Yb, Lu(Tm)</t>
  </si>
  <si>
    <t>Stripping - product Gd, Er</t>
  </si>
  <si>
    <t>Extraction Y concentrate (95%)</t>
  </si>
  <si>
    <t>Extraction Y concentrate (75%)</t>
  </si>
  <si>
    <t>Scrubbing - product Gd, Er</t>
  </si>
  <si>
    <t>Scrubbing - product Tm, Yb, Lu</t>
  </si>
  <si>
    <t>Stripping - product Tm, Yb, Lu</t>
  </si>
  <si>
    <t>Y/Ho</t>
  </si>
  <si>
    <t>Y/Er</t>
  </si>
  <si>
    <t>Separation of yttrium, holmium, and erbium with di-(2-ethylhexyl) phosphoric acid in chloride and nitrate systems</t>
  </si>
  <si>
    <t>Odd, M.B.</t>
  </si>
  <si>
    <t>Smutz, M.</t>
  </si>
  <si>
    <t>1971</t>
  </si>
  <si>
    <t>Pergamon Press</t>
  </si>
  <si>
    <t>Great Britain</t>
  </si>
  <si>
    <t>Journal of Inorganic and Nuclear Chemistry</t>
  </si>
  <si>
    <t>33</t>
  </si>
  <si>
    <t>1</t>
  </si>
  <si>
    <r>
      <t xml:space="preserve">Odd, M.B. and Smutz M. (1971). Separation of yttrium, holmium, and erbium with di-(2-ethylhexyl) phosphoric acid in chloride and nitrate systems. </t>
    </r>
    <r>
      <rPr>
        <i/>
        <sz val="10"/>
        <rFont val="Arial"/>
        <family val="2"/>
      </rPr>
      <t xml:space="preserve">Journal of Inorganic and Nuclear Chemistry, 33(1). </t>
    </r>
    <r>
      <rPr>
        <sz val="10"/>
        <rFont val="Arial"/>
        <family val="2"/>
      </rPr>
      <t>Oxford: Pergamon Press.</t>
    </r>
  </si>
  <si>
    <t>Separation factor Reference[8]</t>
  </si>
  <si>
    <t>Yb_Ho_factor</t>
  </si>
  <si>
    <t>Y_Er_factor</t>
  </si>
  <si>
    <t>total stages</t>
  </si>
  <si>
    <t>Ho_Y_factor</t>
  </si>
  <si>
    <t>Er_out*(a_coeff*((Y_Er_factor-1)^b_coeff+(Er_Tm_factor-1)^b_coeff)+2*c_coeff)</t>
  </si>
  <si>
    <t>Ho_out*(a_coeff*((Dy_Ho_factor-1)^b_coeff+(Ho_Y_factor-1)^b_coeff)+2*c_coeff)</t>
  </si>
  <si>
    <t>1995</t>
  </si>
  <si>
    <t>Handbook of the Chemistry and Physics of Rare Earths</t>
  </si>
  <si>
    <t>Chapter 139 - Extraction Chemistry</t>
  </si>
  <si>
    <t>Elsevier Science B.V.</t>
  </si>
  <si>
    <t>Bautista G.</t>
  </si>
  <si>
    <t>Amsterdam</t>
  </si>
  <si>
    <r>
      <t xml:space="preserve">Bautista, G. (1995). Chapter 139 - Extraction Chemistry. In Gschneidner, K.A. &amp; Eyring, L. (Eds.), </t>
    </r>
    <r>
      <rPr>
        <i/>
        <sz val="10"/>
        <rFont val="Arial"/>
        <family val="2"/>
      </rPr>
      <t>Handbook of the Chemistry and Physics of Rare Earths</t>
    </r>
    <r>
      <rPr>
        <sz val="10"/>
        <rFont val="Arial"/>
        <family val="2"/>
      </rPr>
      <t>. Amsterdam: Elsevier Science B.V.</t>
    </r>
  </si>
  <si>
    <r>
      <t xml:space="preserve">Separation factors for RE(III)Cl-HCl-DEHP system </t>
    </r>
    <r>
      <rPr>
        <b/>
        <sz val="11"/>
        <color theme="1"/>
        <rFont val="Calibri"/>
        <family val="2"/>
        <scheme val="minor"/>
      </rPr>
      <t>Reference [9]</t>
    </r>
  </si>
  <si>
    <t>Gschneidner, K.A., Eyring, L.</t>
  </si>
  <si>
    <t>Reference [2] - Sampling of solvent extraction stage counts</t>
  </si>
  <si>
    <t>Average number of stripping stages for a single separation</t>
  </si>
  <si>
    <t>Average number of scrubbing stages for a single separation</t>
  </si>
  <si>
    <t>For two separations</t>
  </si>
  <si>
    <t>The sampling of stages to the left include a mix of different solvents (DEHPA, TPB, etc.) and solutions (HCl, HNO3, etc.). Without further information regarding the feed and product concentrations at every stage, there's no way to correlate the number of each type of stage in the sampling to the left to the separation factor. To provide a starting point for calculating the total number of required stages, the average of all stages for each type are averaged.</t>
  </si>
  <si>
    <t>2004</t>
  </si>
  <si>
    <t>Final Environmental Impact Report for Molycorp, Inc. Mountain Pass Mine 30-Year Plan</t>
  </si>
  <si>
    <t>ENSR International</t>
  </si>
  <si>
    <t>Camarillo, CA</t>
  </si>
  <si>
    <t>ENSR International (2004). Final Environmental Impact Report for Molycorp, Inc. Mountain Pass Mine 30-Year Plan. Camarillo, CA: ENSR International.</t>
  </si>
  <si>
    <t>2,9</t>
  </si>
  <si>
    <t>2,8</t>
  </si>
  <si>
    <t>2,8,9</t>
  </si>
  <si>
    <t>1,2,8,9</t>
  </si>
  <si>
    <t>Separation of rare earth chlorides using di-(2-ethylhexyl)-phosphoric acid and mixer-settlers</t>
  </si>
  <si>
    <t>This unit process provides a summary of relevant input and output flows associated with separating a single rare earth chloride from a mix of rare earth chloride hydrates. The material and energy requirements are calculated to target a specific rare earth chloride rather than the requirements for processing the whole stream with 15 co-products, thus acting as a form of allocation.</t>
  </si>
  <si>
    <t>Specific use for potassium chloride is unknown thus it is omitted from inputs</t>
  </si>
  <si>
    <t>Specific use for urea is unknown thus it is omitted from inputs</t>
  </si>
  <si>
    <t>Specific use for borax is unknown thus it is omitted from inputs</t>
  </si>
  <si>
    <t>kg input/kg REO into separations</t>
  </si>
  <si>
    <t>kg input/kg rare earth chloride hydrate input</t>
  </si>
  <si>
    <t>GaBi 5 Import</t>
  </si>
  <si>
    <t>Data Summary page formatted for importation into the GaBi 5</t>
  </si>
  <si>
    <t>Lu_out*(a_coeff*((La_Ce_factor-1)^b_coeff)+1*c_coeff)</t>
  </si>
  <si>
    <t>Yb_out*(a_coeff*((Tm_Yb_factor-1)^b_coeff+(Yb_Ho_factor-1)^b_coeff)+2*c_coeff)</t>
  </si>
  <si>
    <t>Lu_out*(a_coeff*((Yb_Ho_factor-1)^b_coeff)+1*c_coeff)</t>
  </si>
  <si>
    <t>Y_out*(a_coeff*((Y_Er_factor-1)^b_coeff+(Ho_Y_factor-1)^b_coeff)+2*c_coeff)</t>
  </si>
  <si>
    <t>total_stages*motor_factor*water_in</t>
  </si>
  <si>
    <t>Caustic soda (50%)</t>
  </si>
  <si>
    <t>Electricity</t>
  </si>
  <si>
    <t>[Technosphere] Electricity</t>
  </si>
  <si>
    <t>[dimensionless] separation factor between Y and Er for DEHPA-Cl3 system</t>
  </si>
  <si>
    <t>[dimensionless] separation factor between Y and Ho for DEHPA-Cl3 system</t>
  </si>
  <si>
    <t>[dimensionless] separation factor between La and Ce for DEHPA-Cl3 system</t>
  </si>
  <si>
    <t>[dimensionless] separation factor between Ce and Pr for DEHPA-Cl3 system</t>
  </si>
  <si>
    <t>[dimensionless] separation factor between Pr and Nd for DEHPA-Cl3 system</t>
  </si>
  <si>
    <t>[dimensionless] separation factor between Nd and Sm for DEHPA-Cl3 system</t>
  </si>
  <si>
    <t>[dimensionless] separation factor between Sm and Eu for DEHPA-Cl3 system</t>
  </si>
  <si>
    <t>[dimensionless] separation factor between Eu and Gd for DEHPA-Cl3 system</t>
  </si>
  <si>
    <t>[dimensionless] separation factor between Gd and Tb for DEHPA-Cl3 system</t>
  </si>
  <si>
    <t>[dimensionless] separation factor between Tb and Dy for DEHPA-Cl3 system</t>
  </si>
  <si>
    <t>[dimensionless] separation factor between Dy and Ho for DEHPA-Cl3 system</t>
  </si>
  <si>
    <t>[dimensionless] separation factor between Ho and Er for DEHPA-Cl3 system</t>
  </si>
  <si>
    <t>[dimensionless] separation factor between Er and Tm for DEHPA-Cl3 system</t>
  </si>
  <si>
    <t>[dimensionless] separation factor between Tm and Yb for DEHPA-Cl3 system</t>
  </si>
  <si>
    <t>[dimensionless] separation factor between Yb and Lu for DEHPA-Cl3 system</t>
  </si>
  <si>
    <t>This unit process is composed of this document and the file, DF_Stage1_O_rare_earth_solvent_extraction_2014.01.docx, which provides additional details regarding calculations, data quality, and references as relevant.</t>
  </si>
  <si>
    <t>Number of stages</t>
  </si>
  <si>
    <t>2,4,8,9</t>
  </si>
  <si>
    <t>RE_yield</t>
  </si>
  <si>
    <t>Ce_yield+La_yield+Pr_yield+Nd_yield+Sm_yield+Eu_yield+Gd_yield+Tb_yield+Dy_yield+Ho_yield+Er_yield+Tm_yield+Yb_yield+Lu_yield+Y_yield</t>
  </si>
  <si>
    <t>[kg/kg] mass of rare earth chloride hexahydrate produced per kg of rare earth chloride concentrate input</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</si>
  <si>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rare earth chloride concentrate input</t>
    </r>
    <r>
      <rPr>
        <sz val="10"/>
        <color indexed="8"/>
        <rFont val="Arial"/>
        <family val="2"/>
      </rPr>
      <t>)</t>
    </r>
  </si>
  <si>
    <t>Moles rare earth per kg total REO</t>
  </si>
  <si>
    <t xml:space="preserve">kg </t>
  </si>
  <si>
    <t>g</t>
  </si>
  <si>
    <t>Reference [4]</t>
  </si>
  <si>
    <t>The total input for 644 stages is 1 kg of rare earth chloride hexahydrate concentrate, which equals 0.475 kg of REO.</t>
  </si>
  <si>
    <t>This unit process calculates the total number of extraction stages as 284 (set all outputs to 1 except cerium and use concentration without cerium - Mountain Pass separates cerium before solvent extraction). Each material (15) is modeled as requiring 10 stripping and 14 scrubbing stages for  644 stages.</t>
  </si>
  <si>
    <t>Water loss</t>
  </si>
  <si>
    <t>Assumption [1]</t>
  </si>
  <si>
    <t>rare earth Water concentration</t>
  </si>
  <si>
    <t>Initial rare earth solution concentration is assumed to be 30%</t>
  </si>
  <si>
    <t>Reference [2]</t>
  </si>
  <si>
    <t>kg REO / kg of water</t>
  </si>
  <si>
    <t>kg REO/kg RECl3</t>
  </si>
  <si>
    <t>kg RECl3 hexahydrates / kg of water</t>
  </si>
  <si>
    <t>(RE_yield/recovery_rate)/mix_perc_h2o*(1-mix_perc_h2o)</t>
  </si>
  <si>
    <t>No information was available on the amount of water input to solvent extraction. It is assumed that some water is lost from the aqueous solutions to the organic phase. This number is based solely on not getting negative water waste discharges.</t>
  </si>
  <si>
    <t>rare earth chloride hexahydrate</t>
  </si>
  <si>
    <t>feedstock</t>
  </si>
  <si>
    <t>[kg/kg] Allocated amount of feedstock to produce fraction of separated product</t>
  </si>
  <si>
    <t>RE_yield/recovery_rate</t>
  </si>
  <si>
    <t>solvent,kerosene,caustic soda</t>
  </si>
  <si>
    <t>rare earth input/output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</si>
</sst>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_(* #,##0_);_(* \(#,##0\);_(* &quot;-&quot;??_);_(@_)"/>
  </numFmts>
  <fonts count="5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i/>
      <sz val="11"/>
      <color theme="1"/>
      <name val="Calibri"/>
      <family val="2"/>
      <scheme val="minor"/>
    </font>
    <font>
      <sz val="10"/>
      <color theme="1"/>
      <name val="Calibri"/>
      <family val="2"/>
      <scheme val="minor"/>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right style="medium">
        <color indexed="64"/>
      </right>
      <top style="thin">
        <color indexed="64"/>
      </top>
      <bottom/>
      <diagonal/>
    </border>
  </borders>
  <cellStyleXfs count="99">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3" borderId="0" applyNumberFormat="0" applyBorder="0" applyAlignment="0" applyProtection="0"/>
    <xf numFmtId="0" fontId="34" fillId="17" borderId="0" applyNumberFormat="0" applyBorder="0" applyAlignment="0" applyProtection="0"/>
    <xf numFmtId="0" fontId="35" fillId="34" borderId="44" applyNumberFormat="0" applyAlignment="0" applyProtection="0"/>
    <xf numFmtId="0" fontId="36"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8"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1" borderId="44" applyNumberFormat="0" applyAlignment="0" applyProtection="0"/>
    <xf numFmtId="0" fontId="44" fillId="0" borderId="49" applyNumberFormat="0" applyFill="0" applyAlignment="0" applyProtection="0"/>
    <xf numFmtId="0" fontId="45"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6"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xf numFmtId="9" fontId="1" fillId="0" borderId="0" applyFont="0" applyFill="0" applyBorder="0" applyAlignment="0" applyProtection="0"/>
  </cellStyleXfs>
  <cellXfs count="44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5"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0" fillId="0" borderId="0" xfId="0" applyAlignment="1">
      <alignment wrapText="1"/>
    </xf>
    <xf numFmtId="0" fontId="0" fillId="6" borderId="0" xfId="0" applyFill="1"/>
    <xf numFmtId="0" fontId="0" fillId="0" borderId="0" xfId="0" applyAlignment="1">
      <alignment horizontal="right"/>
    </xf>
    <xf numFmtId="0" fontId="52" fillId="0" borderId="6" xfId="0" applyFont="1" applyFill="1" applyBorder="1" applyAlignment="1">
      <alignment horizontal="centerContinuous"/>
    </xf>
    <xf numFmtId="0" fontId="0" fillId="0" borderId="0" xfId="0" applyFill="1" applyBorder="1" applyAlignment="1"/>
    <xf numFmtId="0" fontId="0" fillId="0" borderId="13" xfId="0" applyFill="1" applyBorder="1" applyAlignment="1"/>
    <xf numFmtId="0" fontId="52" fillId="0" borderId="6" xfId="0" applyFont="1" applyFill="1" applyBorder="1" applyAlignment="1">
      <alignment horizontal="center"/>
    </xf>
    <xf numFmtId="164" fontId="15" fillId="0" borderId="16" xfId="0" applyNumberFormat="1" applyFont="1" applyBorder="1" applyProtection="1">
      <protection locked="0"/>
    </xf>
    <xf numFmtId="164" fontId="15" fillId="0" borderId="16" xfId="0" applyNumberFormat="1" applyFont="1" applyFill="1" applyBorder="1" applyProtection="1">
      <protection locked="0"/>
    </xf>
    <xf numFmtId="0" fontId="0" fillId="0" borderId="0" xfId="0" applyAlignment="1">
      <alignment horizontal="left"/>
    </xf>
    <xf numFmtId="0" fontId="3" fillId="0" borderId="0" xfId="0" applyFont="1" applyAlignment="1">
      <alignment horizontal="left"/>
    </xf>
    <xf numFmtId="0" fontId="1" fillId="0" borderId="0" xfId="0" applyFont="1"/>
    <xf numFmtId="0" fontId="0" fillId="0" borderId="0" xfId="0" applyFont="1"/>
    <xf numFmtId="0" fontId="1" fillId="0" borderId="22" xfId="0" applyFont="1" applyBorder="1"/>
    <xf numFmtId="11" fontId="1" fillId="0" borderId="0" xfId="0" applyNumberFormat="1" applyFont="1"/>
    <xf numFmtId="0" fontId="1" fillId="6" borderId="0" xfId="0" applyFont="1" applyFill="1"/>
    <xf numFmtId="164" fontId="1" fillId="0" borderId="0" xfId="0" applyNumberFormat="1" applyFont="1"/>
    <xf numFmtId="11" fontId="1" fillId="0" borderId="22" xfId="0" applyNumberFormat="1" applyFont="1" applyBorder="1"/>
    <xf numFmtId="165" fontId="1" fillId="0" borderId="0" xfId="0" applyNumberFormat="1" applyFont="1"/>
    <xf numFmtId="166" fontId="0" fillId="6" borderId="0" xfId="0" applyNumberFormat="1" applyFont="1" applyFill="1"/>
    <xf numFmtId="166" fontId="0" fillId="0" borderId="0" xfId="0" applyNumberFormat="1" applyFont="1"/>
    <xf numFmtId="11" fontId="1" fillId="6" borderId="0" xfId="0" applyNumberFormat="1" applyFont="1" applyFill="1"/>
    <xf numFmtId="166" fontId="1" fillId="6" borderId="0" xfId="0" applyNumberFormat="1" applyFont="1" applyFill="1"/>
    <xf numFmtId="10" fontId="0" fillId="0" borderId="0" xfId="0" applyNumberFormat="1"/>
    <xf numFmtId="11" fontId="15" fillId="0" borderId="0" xfId="0" applyNumberFormat="1" applyFont="1"/>
    <xf numFmtId="11" fontId="15" fillId="0" borderId="22" xfId="0" applyNumberFormat="1" applyFont="1" applyBorder="1"/>
    <xf numFmtId="0" fontId="15" fillId="0" borderId="0" xfId="0" applyFont="1" applyAlignment="1">
      <alignment horizontal="right"/>
    </xf>
    <xf numFmtId="0" fontId="0" fillId="0" borderId="0" xfId="0" applyFill="1"/>
    <xf numFmtId="0" fontId="0" fillId="0" borderId="19" xfId="0" applyBorder="1"/>
    <xf numFmtId="0" fontId="0" fillId="0" borderId="20" xfId="0" applyBorder="1"/>
    <xf numFmtId="0" fontId="0" fillId="0" borderId="21" xfId="0" applyBorder="1"/>
    <xf numFmtId="0" fontId="0" fillId="0" borderId="0" xfId="0" applyBorder="1"/>
    <xf numFmtId="0" fontId="0" fillId="0" borderId="23" xfId="0" applyBorder="1"/>
    <xf numFmtId="11" fontId="15" fillId="10" borderId="16" xfId="0" applyNumberFormat="1" applyFont="1" applyFill="1" applyBorder="1" applyAlignment="1" applyProtection="1">
      <alignment vertical="top"/>
      <protection hidden="1"/>
    </xf>
    <xf numFmtId="0" fontId="22" fillId="0" borderId="0" xfId="3" applyAlignment="1" applyProtection="1">
      <alignment horizontal="left" vertical="top"/>
    </xf>
    <xf numFmtId="0" fontId="3" fillId="0" borderId="0" xfId="0" applyFont="1"/>
    <xf numFmtId="164" fontId="15" fillId="0" borderId="16" xfId="0" applyNumberFormat="1" applyFont="1" applyFill="1" applyBorder="1" applyAlignment="1">
      <alignment horizontal="right"/>
    </xf>
    <xf numFmtId="9" fontId="0" fillId="0" borderId="0" xfId="0" applyNumberFormat="1" applyFont="1"/>
    <xf numFmtId="11" fontId="0" fillId="0" borderId="0" xfId="0" applyNumberFormat="1" applyFont="1"/>
    <xf numFmtId="11" fontId="0" fillId="6" borderId="0" xfId="0" applyNumberFormat="1" applyFont="1" applyFill="1"/>
    <xf numFmtId="0" fontId="53" fillId="0" borderId="19" xfId="0" applyFont="1" applyBorder="1"/>
    <xf numFmtId="0" fontId="53" fillId="0" borderId="20" xfId="0" applyFont="1" applyBorder="1"/>
    <xf numFmtId="174" fontId="53" fillId="0" borderId="20" xfId="1" applyNumberFormat="1" applyFont="1" applyBorder="1"/>
    <xf numFmtId="0" fontId="53" fillId="0" borderId="22" xfId="0" applyFont="1" applyBorder="1"/>
    <xf numFmtId="0" fontId="53" fillId="0" borderId="0" xfId="0" applyFont="1" applyBorder="1"/>
    <xf numFmtId="174" fontId="53" fillId="0" borderId="0" xfId="1" applyNumberFormat="1" applyFont="1" applyBorder="1"/>
    <xf numFmtId="0" fontId="53" fillId="0" borderId="24" xfId="0" applyFont="1" applyBorder="1"/>
    <xf numFmtId="0" fontId="53" fillId="0" borderId="9" xfId="0" applyFont="1" applyBorder="1"/>
    <xf numFmtId="174" fontId="53" fillId="0" borderId="9" xfId="1" applyNumberFormat="1" applyFont="1" applyBorder="1"/>
    <xf numFmtId="0" fontId="22" fillId="0" borderId="0" xfId="3" applyFill="1" applyAlignment="1" applyProtection="1">
      <alignment horizontal="left" vertical="top"/>
      <protection locked="0"/>
    </xf>
    <xf numFmtId="11" fontId="15" fillId="0" borderId="16" xfId="0" applyNumberFormat="1" applyFont="1" applyFill="1" applyBorder="1" applyAlignment="1">
      <alignment horizontal="right"/>
    </xf>
    <xf numFmtId="3" fontId="53" fillId="0" borderId="20" xfId="0" applyNumberFormat="1" applyFont="1" applyBorder="1"/>
    <xf numFmtId="3" fontId="53" fillId="0" borderId="0" xfId="0" applyNumberFormat="1" applyFont="1" applyBorder="1"/>
    <xf numFmtId="3" fontId="53" fillId="0" borderId="9" xfId="0" applyNumberFormat="1" applyFont="1" applyBorder="1"/>
    <xf numFmtId="9" fontId="0" fillId="0" borderId="0" xfId="98" applyFont="1"/>
    <xf numFmtId="164" fontId="0" fillId="0" borderId="0" xfId="0" applyNumberFormat="1"/>
    <xf numFmtId="16" fontId="0" fillId="0" borderId="0" xfId="0" quotePrefix="1" applyNumberFormat="1" applyBorder="1"/>
    <xf numFmtId="0" fontId="0" fillId="0" borderId="9" xfId="0" quotePrefix="1" applyBorder="1"/>
    <xf numFmtId="0" fontId="4" fillId="5" borderId="56"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1" fillId="0" borderId="0" xfId="0" applyFont="1" applyAlignment="1">
      <alignment wrapText="1"/>
    </xf>
    <xf numFmtId="0" fontId="0" fillId="0" borderId="0" xfId="0" applyFont="1" applyAlignment="1">
      <alignment wrapText="1"/>
    </xf>
    <xf numFmtId="0" fontId="1" fillId="0" borderId="0" xfId="0" applyFont="1" applyAlignment="1">
      <alignment horizontal="left" wrapText="1"/>
    </xf>
    <xf numFmtId="166" fontId="0" fillId="0" borderId="0" xfId="0" applyNumberFormat="1" applyFont="1" applyFill="1"/>
    <xf numFmtId="11" fontId="0" fillId="0" borderId="0" xfId="0" applyNumberFormat="1"/>
    <xf numFmtId="2" fontId="0" fillId="0" borderId="0" xfId="0" applyNumberFormat="1" applyFont="1"/>
    <xf numFmtId="0" fontId="15" fillId="0" borderId="16" xfId="0" applyFont="1" applyBorder="1" applyAlignment="1">
      <alignment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xfId="98" builtinId="5"/>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8">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X Variable 1  Residual Plot</a:t>
            </a:r>
          </a:p>
        </c:rich>
      </c:tx>
      <c:layout/>
      <c:overlay val="0"/>
    </c:title>
    <c:autoTitleDeleted val="0"/>
    <c:plotArea>
      <c:layout/>
      <c:scatterChart>
        <c:scatterStyle val="lineMarker"/>
        <c:varyColors val="0"/>
        <c:ser>
          <c:idx val="0"/>
          <c:order val="0"/>
          <c:spPr>
            <a:ln w="28575">
              <a:noFill/>
            </a:ln>
          </c:spPr>
          <c:xVal>
            <c:numRef>
              <c:f>mixer_settler_power!$C$5:$C$14</c:f>
              <c:numCache>
                <c:formatCode>General</c:formatCode>
                <c:ptCount val="10"/>
                <c:pt idx="0">
                  <c:v>4</c:v>
                </c:pt>
                <c:pt idx="1">
                  <c:v>16</c:v>
                </c:pt>
                <c:pt idx="2">
                  <c:v>36</c:v>
                </c:pt>
                <c:pt idx="3">
                  <c:v>64</c:v>
                </c:pt>
                <c:pt idx="4">
                  <c:v>100</c:v>
                </c:pt>
                <c:pt idx="5">
                  <c:v>144</c:v>
                </c:pt>
                <c:pt idx="6">
                  <c:v>210</c:v>
                </c:pt>
                <c:pt idx="7">
                  <c:v>288</c:v>
                </c:pt>
                <c:pt idx="8">
                  <c:v>360</c:v>
                </c:pt>
                <c:pt idx="9">
                  <c:v>450</c:v>
                </c:pt>
              </c:numCache>
            </c:numRef>
          </c:xVal>
          <c:yVal>
            <c:numRef>
              <c:f>mixer_settler_power!$C$42:$C$51</c:f>
              <c:numCache>
                <c:formatCode>General</c:formatCode>
                <c:ptCount val="10"/>
                <c:pt idx="0">
                  <c:v>0.29222026701967935</c:v>
                </c:pt>
                <c:pt idx="1">
                  <c:v>0.58554773474538413</c:v>
                </c:pt>
                <c:pt idx="2">
                  <c:v>0.6299824031771144</c:v>
                </c:pt>
                <c:pt idx="3">
                  <c:v>0.34219093898153674</c:v>
                </c:pt>
                <c:pt idx="4">
                  <c:v>0.47217334215865114</c:v>
                </c:pt>
                <c:pt idx="5">
                  <c:v>1.9929612708457611E-2</c:v>
                </c:pt>
                <c:pt idx="6">
                  <c:v>-0.15843598146683258</c:v>
                </c:pt>
                <c:pt idx="7">
                  <c:v>3.9859225416915223E-2</c:v>
                </c:pt>
                <c:pt idx="8">
                  <c:v>-0.70017596822885597</c:v>
                </c:pt>
                <c:pt idx="9">
                  <c:v>0.37478003971393026</c:v>
                </c:pt>
              </c:numCache>
            </c:numRef>
          </c:yVal>
          <c:smooth val="0"/>
        </c:ser>
        <c:dLbls>
          <c:showLegendKey val="0"/>
          <c:showVal val="0"/>
          <c:showCatName val="0"/>
          <c:showSerName val="0"/>
          <c:showPercent val="0"/>
          <c:showBubbleSize val="0"/>
        </c:dLbls>
        <c:axId val="234648320"/>
        <c:axId val="234650624"/>
      </c:scatterChart>
      <c:valAx>
        <c:axId val="234648320"/>
        <c:scaling>
          <c:orientation val="minMax"/>
        </c:scaling>
        <c:delete val="0"/>
        <c:axPos val="b"/>
        <c:title>
          <c:tx>
            <c:rich>
              <a:bodyPr/>
              <a:lstStyle/>
              <a:p>
                <a:pPr>
                  <a:defRPr/>
                </a:pPr>
                <a:r>
                  <a:rPr lang="en-US"/>
                  <a:t>X Variable 1</a:t>
                </a:r>
              </a:p>
            </c:rich>
          </c:tx>
          <c:layout/>
          <c:overlay val="0"/>
        </c:title>
        <c:numFmt formatCode="General" sourceLinked="1"/>
        <c:majorTickMark val="out"/>
        <c:minorTickMark val="none"/>
        <c:tickLblPos val="nextTo"/>
        <c:crossAx val="234650624"/>
        <c:crosses val="autoZero"/>
        <c:crossBetween val="midCat"/>
      </c:valAx>
      <c:valAx>
        <c:axId val="234650624"/>
        <c:scaling>
          <c:orientation val="minMax"/>
        </c:scaling>
        <c:delete val="0"/>
        <c:axPos val="l"/>
        <c:title>
          <c:tx>
            <c:rich>
              <a:bodyPr/>
              <a:lstStyle/>
              <a:p>
                <a:pPr>
                  <a:defRPr/>
                </a:pPr>
                <a:r>
                  <a:rPr lang="en-US"/>
                  <a:t>Residuals</a:t>
                </a:r>
              </a:p>
            </c:rich>
          </c:tx>
          <c:layout/>
          <c:overlay val="0"/>
        </c:title>
        <c:numFmt formatCode="General" sourceLinked="1"/>
        <c:majorTickMark val="out"/>
        <c:minorTickMark val="none"/>
        <c:tickLblPos val="nextTo"/>
        <c:crossAx val="234648320"/>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X Variable 1 Line Fit  Plot</a:t>
            </a:r>
          </a:p>
        </c:rich>
      </c:tx>
      <c:layout/>
      <c:overlay val="0"/>
    </c:title>
    <c:autoTitleDeleted val="0"/>
    <c:plotArea>
      <c:layout/>
      <c:scatterChart>
        <c:scatterStyle val="lineMarker"/>
        <c:varyColors val="0"/>
        <c:ser>
          <c:idx val="0"/>
          <c:order val="0"/>
          <c:tx>
            <c:v>Y</c:v>
          </c:tx>
          <c:spPr>
            <a:ln w="28575">
              <a:noFill/>
            </a:ln>
          </c:spPr>
          <c:xVal>
            <c:numRef>
              <c:f>mixer_settler_power!$C$5:$C$14</c:f>
              <c:numCache>
                <c:formatCode>General</c:formatCode>
                <c:ptCount val="10"/>
                <c:pt idx="0">
                  <c:v>4</c:v>
                </c:pt>
                <c:pt idx="1">
                  <c:v>16</c:v>
                </c:pt>
                <c:pt idx="2">
                  <c:v>36</c:v>
                </c:pt>
                <c:pt idx="3">
                  <c:v>64</c:v>
                </c:pt>
                <c:pt idx="4">
                  <c:v>100</c:v>
                </c:pt>
                <c:pt idx="5">
                  <c:v>144</c:v>
                </c:pt>
                <c:pt idx="6">
                  <c:v>210</c:v>
                </c:pt>
                <c:pt idx="7">
                  <c:v>288</c:v>
                </c:pt>
                <c:pt idx="8">
                  <c:v>360</c:v>
                </c:pt>
                <c:pt idx="9">
                  <c:v>450</c:v>
                </c:pt>
              </c:numCache>
            </c:numRef>
          </c:xVal>
          <c:yVal>
            <c:numRef>
              <c:f>mixer_settler_power!$D$5:$D$14</c:f>
              <c:numCache>
                <c:formatCode>General</c:formatCode>
                <c:ptCount val="10"/>
                <c:pt idx="0">
                  <c:v>0.33333333333333331</c:v>
                </c:pt>
                <c:pt idx="1">
                  <c:v>0.75</c:v>
                </c:pt>
                <c:pt idx="2">
                  <c:v>1</c:v>
                </c:pt>
                <c:pt idx="3">
                  <c:v>1</c:v>
                </c:pt>
                <c:pt idx="4">
                  <c:v>1.5</c:v>
                </c:pt>
                <c:pt idx="5">
                  <c:v>1.5</c:v>
                </c:pt>
                <c:pt idx="6">
                  <c:v>2</c:v>
                </c:pt>
                <c:pt idx="7">
                  <c:v>3</c:v>
                </c:pt>
                <c:pt idx="8">
                  <c:v>3</c:v>
                </c:pt>
                <c:pt idx="9">
                  <c:v>5</c:v>
                </c:pt>
              </c:numCache>
            </c:numRef>
          </c:yVal>
          <c:smooth val="0"/>
        </c:ser>
        <c:ser>
          <c:idx val="1"/>
          <c:order val="1"/>
          <c:tx>
            <c:v>Predicted Y</c:v>
          </c:tx>
          <c:spPr>
            <a:ln w="28575">
              <a:noFill/>
            </a:ln>
          </c:spPr>
          <c:xVal>
            <c:numRef>
              <c:f>mixer_settler_power!$C$5:$C$14</c:f>
              <c:numCache>
                <c:formatCode>General</c:formatCode>
                <c:ptCount val="10"/>
                <c:pt idx="0">
                  <c:v>4</c:v>
                </c:pt>
                <c:pt idx="1">
                  <c:v>16</c:v>
                </c:pt>
                <c:pt idx="2">
                  <c:v>36</c:v>
                </c:pt>
                <c:pt idx="3">
                  <c:v>64</c:v>
                </c:pt>
                <c:pt idx="4">
                  <c:v>100</c:v>
                </c:pt>
                <c:pt idx="5">
                  <c:v>144</c:v>
                </c:pt>
                <c:pt idx="6">
                  <c:v>210</c:v>
                </c:pt>
                <c:pt idx="7">
                  <c:v>288</c:v>
                </c:pt>
                <c:pt idx="8">
                  <c:v>360</c:v>
                </c:pt>
                <c:pt idx="9">
                  <c:v>450</c:v>
                </c:pt>
              </c:numCache>
            </c:numRef>
          </c:xVal>
          <c:yVal>
            <c:numRef>
              <c:f>mixer_settler_power!$B$42:$B$51</c:f>
              <c:numCache>
                <c:formatCode>General</c:formatCode>
                <c:ptCount val="10"/>
                <c:pt idx="0">
                  <c:v>4.1113066313653954E-2</c:v>
                </c:pt>
                <c:pt idx="1">
                  <c:v>0.16445226525461581</c:v>
                </c:pt>
                <c:pt idx="2">
                  <c:v>0.3700175968228856</c:v>
                </c:pt>
                <c:pt idx="3">
                  <c:v>0.65780906101846326</c:v>
                </c:pt>
                <c:pt idx="4">
                  <c:v>1.0278266578413489</c:v>
                </c:pt>
                <c:pt idx="5">
                  <c:v>1.4800703872915424</c:v>
                </c:pt>
                <c:pt idx="6">
                  <c:v>2.1584359814668326</c:v>
                </c:pt>
                <c:pt idx="7">
                  <c:v>2.9601407745830848</c:v>
                </c:pt>
                <c:pt idx="8">
                  <c:v>3.700175968228856</c:v>
                </c:pt>
                <c:pt idx="9">
                  <c:v>4.6252199602860697</c:v>
                </c:pt>
              </c:numCache>
            </c:numRef>
          </c:yVal>
          <c:smooth val="0"/>
        </c:ser>
        <c:dLbls>
          <c:showLegendKey val="0"/>
          <c:showVal val="0"/>
          <c:showCatName val="0"/>
          <c:showSerName val="0"/>
          <c:showPercent val="0"/>
          <c:showBubbleSize val="0"/>
        </c:dLbls>
        <c:axId val="251232256"/>
        <c:axId val="251301248"/>
      </c:scatterChart>
      <c:valAx>
        <c:axId val="251232256"/>
        <c:scaling>
          <c:orientation val="minMax"/>
        </c:scaling>
        <c:delete val="0"/>
        <c:axPos val="b"/>
        <c:title>
          <c:tx>
            <c:rich>
              <a:bodyPr/>
              <a:lstStyle/>
              <a:p>
                <a:pPr>
                  <a:defRPr/>
                </a:pPr>
                <a:r>
                  <a:rPr lang="en-US"/>
                  <a:t>X Variable 1</a:t>
                </a:r>
              </a:p>
            </c:rich>
          </c:tx>
          <c:layout/>
          <c:overlay val="0"/>
        </c:title>
        <c:numFmt formatCode="General" sourceLinked="1"/>
        <c:majorTickMark val="out"/>
        <c:minorTickMark val="none"/>
        <c:tickLblPos val="nextTo"/>
        <c:crossAx val="251301248"/>
        <c:crosses val="autoZero"/>
        <c:crossBetween val="midCat"/>
      </c:valAx>
      <c:valAx>
        <c:axId val="251301248"/>
        <c:scaling>
          <c:orientation val="minMax"/>
        </c:scaling>
        <c:delete val="0"/>
        <c:axPos val="l"/>
        <c:title>
          <c:tx>
            <c:rich>
              <a:bodyPr/>
              <a:lstStyle/>
              <a:p>
                <a:pPr>
                  <a:defRPr/>
                </a:pPr>
                <a:r>
                  <a:rPr lang="en-US"/>
                  <a:t>Y</a:t>
                </a:r>
              </a:p>
            </c:rich>
          </c:tx>
          <c:layout/>
          <c:overlay val="0"/>
        </c:title>
        <c:numFmt formatCode="General" sourceLinked="1"/>
        <c:majorTickMark val="out"/>
        <c:minorTickMark val="none"/>
        <c:tickLblPos val="nextTo"/>
        <c:crossAx val="2512322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mixer_settler_power!$G$3</c:f>
              <c:strCache>
                <c:ptCount val="1"/>
                <c:pt idx="0">
                  <c:v>Upper 95%</c:v>
                </c:pt>
              </c:strCache>
            </c:strRef>
          </c:tx>
          <c:spPr>
            <a:noFill/>
            <a:ln w="28575">
              <a:noFill/>
            </a:ln>
          </c:spPr>
          <c:cat>
            <c:numRef>
              <c:f>mixer_settler_power!$C$4:$C$15</c:f>
              <c:numCache>
                <c:formatCode>General</c:formatCode>
                <c:ptCount val="12"/>
                <c:pt idx="0">
                  <c:v>0</c:v>
                </c:pt>
                <c:pt idx="1">
                  <c:v>4</c:v>
                </c:pt>
                <c:pt idx="2">
                  <c:v>16</c:v>
                </c:pt>
                <c:pt idx="3">
                  <c:v>36</c:v>
                </c:pt>
                <c:pt idx="4">
                  <c:v>64</c:v>
                </c:pt>
                <c:pt idx="5">
                  <c:v>100</c:v>
                </c:pt>
                <c:pt idx="6">
                  <c:v>144</c:v>
                </c:pt>
                <c:pt idx="7">
                  <c:v>210</c:v>
                </c:pt>
                <c:pt idx="8">
                  <c:v>288</c:v>
                </c:pt>
                <c:pt idx="9">
                  <c:v>360</c:v>
                </c:pt>
                <c:pt idx="10">
                  <c:v>450</c:v>
                </c:pt>
                <c:pt idx="11">
                  <c:v>500</c:v>
                </c:pt>
              </c:numCache>
            </c:numRef>
          </c:cat>
          <c:val>
            <c:numRef>
              <c:f>mixer_settler_power!$F$4:$F$15</c:f>
              <c:numCache>
                <c:formatCode>General</c:formatCode>
                <c:ptCount val="12"/>
                <c:pt idx="0">
                  <c:v>0</c:v>
                </c:pt>
                <c:pt idx="1">
                  <c:v>3.5327970473499878E-2</c:v>
                </c:pt>
                <c:pt idx="2">
                  <c:v>0.14131188189399951</c:v>
                </c:pt>
                <c:pt idx="3">
                  <c:v>0.31795173426149892</c:v>
                </c:pt>
                <c:pt idx="4">
                  <c:v>0.56524752757599805</c:v>
                </c:pt>
                <c:pt idx="5">
                  <c:v>0.88319926183749697</c:v>
                </c:pt>
                <c:pt idx="6">
                  <c:v>1.2718069370459957</c:v>
                </c:pt>
                <c:pt idx="7">
                  <c:v>1.8547184498587437</c:v>
                </c:pt>
                <c:pt idx="8">
                  <c:v>2.5436138740919914</c:v>
                </c:pt>
                <c:pt idx="9">
                  <c:v>3.179517342614989</c:v>
                </c:pt>
                <c:pt idx="10">
                  <c:v>3.9743966782687363</c:v>
                </c:pt>
                <c:pt idx="11">
                  <c:v>4.4159963091874852</c:v>
                </c:pt>
              </c:numCache>
            </c:numRef>
          </c:val>
        </c:ser>
        <c:ser>
          <c:idx val="2"/>
          <c:order val="2"/>
          <c:tx>
            <c:strRef>
              <c:f>mixer_settler_power!$H$3</c:f>
              <c:strCache>
                <c:ptCount val="1"/>
                <c:pt idx="0">
                  <c:v>Delta upper-lower</c:v>
                </c:pt>
              </c:strCache>
            </c:strRef>
          </c:tx>
          <c:spPr>
            <a:solidFill>
              <a:schemeClr val="bg1">
                <a:lumMod val="85000"/>
              </a:schemeClr>
            </a:solidFill>
            <a:ln w="28575">
              <a:noFill/>
            </a:ln>
          </c:spPr>
          <c:cat>
            <c:numRef>
              <c:f>mixer_settler_power!$C$4:$C$15</c:f>
              <c:numCache>
                <c:formatCode>General</c:formatCode>
                <c:ptCount val="12"/>
                <c:pt idx="0">
                  <c:v>0</c:v>
                </c:pt>
                <c:pt idx="1">
                  <c:v>4</c:v>
                </c:pt>
                <c:pt idx="2">
                  <c:v>16</c:v>
                </c:pt>
                <c:pt idx="3">
                  <c:v>36</c:v>
                </c:pt>
                <c:pt idx="4">
                  <c:v>64</c:v>
                </c:pt>
                <c:pt idx="5">
                  <c:v>100</c:v>
                </c:pt>
                <c:pt idx="6">
                  <c:v>144</c:v>
                </c:pt>
                <c:pt idx="7">
                  <c:v>210</c:v>
                </c:pt>
                <c:pt idx="8">
                  <c:v>288</c:v>
                </c:pt>
                <c:pt idx="9">
                  <c:v>360</c:v>
                </c:pt>
                <c:pt idx="10">
                  <c:v>450</c:v>
                </c:pt>
                <c:pt idx="11">
                  <c:v>500</c:v>
                </c:pt>
              </c:numCache>
            </c:numRef>
          </c:cat>
          <c:val>
            <c:numRef>
              <c:f>mixer_settler_power!$H$4:$H$15</c:f>
              <c:numCache>
                <c:formatCode>General</c:formatCode>
                <c:ptCount val="12"/>
                <c:pt idx="0">
                  <c:v>0</c:v>
                </c:pt>
                <c:pt idx="1">
                  <c:v>1.1570191680308151E-2</c:v>
                </c:pt>
                <c:pt idx="2">
                  <c:v>4.6280766721232602E-2</c:v>
                </c:pt>
                <c:pt idx="3">
                  <c:v>0.10413172512277336</c:v>
                </c:pt>
                <c:pt idx="4">
                  <c:v>0.18512306688493041</c:v>
                </c:pt>
                <c:pt idx="5">
                  <c:v>0.28925479200770365</c:v>
                </c:pt>
                <c:pt idx="6">
                  <c:v>0.41652690049109342</c:v>
                </c:pt>
                <c:pt idx="7">
                  <c:v>0.6074350632161778</c:v>
                </c:pt>
                <c:pt idx="8">
                  <c:v>0.83305380098218684</c:v>
                </c:pt>
                <c:pt idx="9">
                  <c:v>1.0413172512277336</c:v>
                </c:pt>
                <c:pt idx="10">
                  <c:v>1.3016465640346673</c:v>
                </c:pt>
                <c:pt idx="11">
                  <c:v>1.4462739600385186</c:v>
                </c:pt>
              </c:numCache>
            </c:numRef>
          </c:val>
        </c:ser>
        <c:dLbls>
          <c:showLegendKey val="0"/>
          <c:showVal val="0"/>
          <c:showCatName val="0"/>
          <c:showSerName val="0"/>
          <c:showPercent val="0"/>
          <c:showBubbleSize val="0"/>
        </c:dLbls>
        <c:axId val="232219392"/>
        <c:axId val="232213504"/>
      </c:areaChart>
      <c:scatterChart>
        <c:scatterStyle val="lineMarker"/>
        <c:varyColors val="0"/>
        <c:ser>
          <c:idx val="0"/>
          <c:order val="0"/>
          <c:tx>
            <c:strRef>
              <c:f>mixer_settler_power!$D$3</c:f>
              <c:strCache>
                <c:ptCount val="1"/>
                <c:pt idx="0">
                  <c:v>Motor HP</c:v>
                </c:pt>
              </c:strCache>
            </c:strRef>
          </c:tx>
          <c:spPr>
            <a:ln w="28575">
              <a:noFill/>
            </a:ln>
          </c:spPr>
          <c:xVal>
            <c:numRef>
              <c:f>mixer_settler_power!$C$5:$C$14</c:f>
              <c:numCache>
                <c:formatCode>General</c:formatCode>
                <c:ptCount val="10"/>
                <c:pt idx="0">
                  <c:v>4</c:v>
                </c:pt>
                <c:pt idx="1">
                  <c:v>16</c:v>
                </c:pt>
                <c:pt idx="2">
                  <c:v>36</c:v>
                </c:pt>
                <c:pt idx="3">
                  <c:v>64</c:v>
                </c:pt>
                <c:pt idx="4">
                  <c:v>100</c:v>
                </c:pt>
                <c:pt idx="5">
                  <c:v>144</c:v>
                </c:pt>
                <c:pt idx="6">
                  <c:v>210</c:v>
                </c:pt>
                <c:pt idx="7">
                  <c:v>288</c:v>
                </c:pt>
                <c:pt idx="8">
                  <c:v>360</c:v>
                </c:pt>
                <c:pt idx="9">
                  <c:v>450</c:v>
                </c:pt>
              </c:numCache>
            </c:numRef>
          </c:xVal>
          <c:yVal>
            <c:numRef>
              <c:f>mixer_settler_power!$D$5:$D$14</c:f>
              <c:numCache>
                <c:formatCode>General</c:formatCode>
                <c:ptCount val="10"/>
                <c:pt idx="0">
                  <c:v>0.33333333333333331</c:v>
                </c:pt>
                <c:pt idx="1">
                  <c:v>0.75</c:v>
                </c:pt>
                <c:pt idx="2">
                  <c:v>1</c:v>
                </c:pt>
                <c:pt idx="3">
                  <c:v>1</c:v>
                </c:pt>
                <c:pt idx="4">
                  <c:v>1.5</c:v>
                </c:pt>
                <c:pt idx="5">
                  <c:v>1.5</c:v>
                </c:pt>
                <c:pt idx="6">
                  <c:v>2</c:v>
                </c:pt>
                <c:pt idx="7">
                  <c:v>3</c:v>
                </c:pt>
                <c:pt idx="8">
                  <c:v>3</c:v>
                </c:pt>
                <c:pt idx="9">
                  <c:v>5</c:v>
                </c:pt>
              </c:numCache>
            </c:numRef>
          </c:yVal>
          <c:smooth val="0"/>
        </c:ser>
        <c:ser>
          <c:idx val="3"/>
          <c:order val="3"/>
          <c:spPr>
            <a:ln>
              <a:solidFill>
                <a:schemeClr val="tx1"/>
              </a:solidFill>
            </a:ln>
          </c:spPr>
          <c:marker>
            <c:symbol val="none"/>
          </c:marker>
          <c:xVal>
            <c:numRef>
              <c:f>mixer_settler_power!$C$4:$C$16</c:f>
              <c:numCache>
                <c:formatCode>General</c:formatCode>
                <c:ptCount val="13"/>
                <c:pt idx="0">
                  <c:v>0</c:v>
                </c:pt>
                <c:pt idx="1">
                  <c:v>4</c:v>
                </c:pt>
                <c:pt idx="2">
                  <c:v>16</c:v>
                </c:pt>
                <c:pt idx="3">
                  <c:v>36</c:v>
                </c:pt>
                <c:pt idx="4">
                  <c:v>64</c:v>
                </c:pt>
                <c:pt idx="5">
                  <c:v>100</c:v>
                </c:pt>
                <c:pt idx="6">
                  <c:v>144</c:v>
                </c:pt>
                <c:pt idx="7">
                  <c:v>210</c:v>
                </c:pt>
                <c:pt idx="8">
                  <c:v>288</c:v>
                </c:pt>
                <c:pt idx="9">
                  <c:v>360</c:v>
                </c:pt>
                <c:pt idx="10">
                  <c:v>450</c:v>
                </c:pt>
                <c:pt idx="11">
                  <c:v>500</c:v>
                </c:pt>
                <c:pt idx="12">
                  <c:v>600</c:v>
                </c:pt>
              </c:numCache>
            </c:numRef>
          </c:xVal>
          <c:yVal>
            <c:numRef>
              <c:f>mixer_settler_power!$E$4:$E$16</c:f>
              <c:numCache>
                <c:formatCode>General</c:formatCode>
                <c:ptCount val="13"/>
                <c:pt idx="0">
                  <c:v>0</c:v>
                </c:pt>
                <c:pt idx="1">
                  <c:v>4.1113066313653954E-2</c:v>
                </c:pt>
                <c:pt idx="2">
                  <c:v>0.16445226525461581</c:v>
                </c:pt>
                <c:pt idx="3">
                  <c:v>0.3700175968228856</c:v>
                </c:pt>
                <c:pt idx="4">
                  <c:v>0.65780906101846326</c:v>
                </c:pt>
                <c:pt idx="5">
                  <c:v>1.0278266578413489</c:v>
                </c:pt>
                <c:pt idx="6">
                  <c:v>1.4800703872915424</c:v>
                </c:pt>
                <c:pt idx="7">
                  <c:v>2.1584359814668326</c:v>
                </c:pt>
                <c:pt idx="8">
                  <c:v>2.9601407745830848</c:v>
                </c:pt>
                <c:pt idx="9">
                  <c:v>3.700175968228856</c:v>
                </c:pt>
                <c:pt idx="10">
                  <c:v>4.6252199602860697</c:v>
                </c:pt>
                <c:pt idx="11">
                  <c:v>5.1391332892067441</c:v>
                </c:pt>
                <c:pt idx="12">
                  <c:v>6.1669599470480927</c:v>
                </c:pt>
              </c:numCache>
            </c:numRef>
          </c:yVal>
          <c:smooth val="0"/>
        </c:ser>
        <c:dLbls>
          <c:showLegendKey val="0"/>
          <c:showVal val="0"/>
          <c:showCatName val="0"/>
          <c:showSerName val="0"/>
          <c:showPercent val="0"/>
          <c:showBubbleSize val="0"/>
        </c:dLbls>
        <c:axId val="232201216"/>
        <c:axId val="232211584"/>
      </c:scatterChart>
      <c:valAx>
        <c:axId val="232201216"/>
        <c:scaling>
          <c:orientation val="minMax"/>
          <c:max val="500"/>
          <c:min val="0"/>
        </c:scaling>
        <c:delete val="0"/>
        <c:axPos val="b"/>
        <c:title>
          <c:tx>
            <c:rich>
              <a:bodyPr/>
              <a:lstStyle/>
              <a:p>
                <a:pPr>
                  <a:defRPr/>
                </a:pPr>
                <a:r>
                  <a:rPr lang="en-US"/>
                  <a:t>Total flow</a:t>
                </a:r>
              </a:p>
            </c:rich>
          </c:tx>
          <c:layout/>
          <c:overlay val="0"/>
        </c:title>
        <c:numFmt formatCode="General" sourceLinked="1"/>
        <c:majorTickMark val="out"/>
        <c:minorTickMark val="none"/>
        <c:tickLblPos val="nextTo"/>
        <c:crossAx val="232211584"/>
        <c:crosses val="autoZero"/>
        <c:crossBetween val="midCat"/>
      </c:valAx>
      <c:valAx>
        <c:axId val="232211584"/>
        <c:scaling>
          <c:orientation val="minMax"/>
          <c:max val="6"/>
          <c:min val="0"/>
        </c:scaling>
        <c:delete val="0"/>
        <c:axPos val="l"/>
        <c:majorGridlines/>
        <c:title>
          <c:tx>
            <c:rich>
              <a:bodyPr rot="-5400000" vert="horz"/>
              <a:lstStyle/>
              <a:p>
                <a:pPr>
                  <a:defRPr/>
                </a:pPr>
                <a:r>
                  <a:rPr lang="en-US"/>
                  <a:t>Motor HP</a:t>
                </a:r>
              </a:p>
            </c:rich>
          </c:tx>
          <c:layout/>
          <c:overlay val="0"/>
        </c:title>
        <c:numFmt formatCode="General" sourceLinked="1"/>
        <c:majorTickMark val="out"/>
        <c:minorTickMark val="none"/>
        <c:tickLblPos val="nextTo"/>
        <c:crossAx val="232201216"/>
        <c:crosses val="autoZero"/>
        <c:crossBetween val="midCat"/>
      </c:valAx>
      <c:valAx>
        <c:axId val="232213504"/>
        <c:scaling>
          <c:orientation val="minMax"/>
          <c:max val="7"/>
          <c:min val="0"/>
        </c:scaling>
        <c:delete val="1"/>
        <c:axPos val="l"/>
        <c:numFmt formatCode="General" sourceLinked="1"/>
        <c:majorTickMark val="out"/>
        <c:minorTickMark val="none"/>
        <c:tickLblPos val="nextTo"/>
        <c:crossAx val="232219392"/>
        <c:crossesAt val="471"/>
        <c:crossBetween val="between"/>
      </c:valAx>
      <c:dateAx>
        <c:axId val="232219392"/>
        <c:scaling>
          <c:orientation val="minMax"/>
        </c:scaling>
        <c:delete val="1"/>
        <c:axPos val="t"/>
        <c:numFmt formatCode="#,##0.00" sourceLinked="0"/>
        <c:majorTickMark val="out"/>
        <c:minorTickMark val="none"/>
        <c:tickLblPos val="nextTo"/>
        <c:crossAx val="232213504"/>
        <c:crosses val="max"/>
        <c:auto val="0"/>
        <c:lblOffset val="100"/>
        <c:baseTimeUnit val="days"/>
        <c:majorUnit val="1"/>
        <c:majorTimeUnit val="months"/>
        <c:minorUnit val="1"/>
        <c:minorTimeUnit val="months"/>
      </c:date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La</c:v>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Separation_factors!$C$5:$O$5</c:f>
              <c:numCache>
                <c:formatCode>General</c:formatCode>
                <c:ptCount val="13"/>
                <c:pt idx="0">
                  <c:v>2.14</c:v>
                </c:pt>
                <c:pt idx="1">
                  <c:v>2.2799999999999998</c:v>
                </c:pt>
                <c:pt idx="2">
                  <c:v>2.4300000000000002</c:v>
                </c:pt>
                <c:pt idx="3">
                  <c:v>11.8</c:v>
                </c:pt>
                <c:pt idx="4">
                  <c:v>26.3</c:v>
                </c:pt>
                <c:pt idx="5">
                  <c:v>44.6</c:v>
                </c:pt>
                <c:pt idx="6">
                  <c:v>71.099999999999994</c:v>
                </c:pt>
                <c:pt idx="7">
                  <c:v>101</c:v>
                </c:pt>
                <c:pt idx="8">
                  <c:v>125</c:v>
                </c:pt>
                <c:pt idx="9">
                  <c:v>212</c:v>
                </c:pt>
                <c:pt idx="10">
                  <c:v>319</c:v>
                </c:pt>
                <c:pt idx="11">
                  <c:v>414</c:v>
                </c:pt>
                <c:pt idx="12">
                  <c:v>425</c:v>
                </c:pt>
              </c:numCache>
            </c:numRef>
          </c:val>
          <c:smooth val="0"/>
        </c:ser>
        <c:ser>
          <c:idx val="1"/>
          <c:order val="1"/>
          <c:tx>
            <c:v>Ce</c:v>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Separation_factors!$C$6:$O$6</c:f>
              <c:numCache>
                <c:formatCode>General</c:formatCode>
                <c:ptCount val="13"/>
                <c:pt idx="1">
                  <c:v>1.07</c:v>
                </c:pt>
                <c:pt idx="2">
                  <c:v>1.1399999999999999</c:v>
                </c:pt>
                <c:pt idx="3">
                  <c:v>5.2</c:v>
                </c:pt>
                <c:pt idx="4">
                  <c:v>12.3</c:v>
                </c:pt>
                <c:pt idx="5">
                  <c:v>20.9</c:v>
                </c:pt>
                <c:pt idx="6">
                  <c:v>33.299999999999997</c:v>
                </c:pt>
                <c:pt idx="7">
                  <c:v>47.2</c:v>
                </c:pt>
                <c:pt idx="8">
                  <c:v>58.4</c:v>
                </c:pt>
                <c:pt idx="9">
                  <c:v>99.1</c:v>
                </c:pt>
                <c:pt idx="10">
                  <c:v>149</c:v>
                </c:pt>
                <c:pt idx="11">
                  <c:v>193</c:v>
                </c:pt>
                <c:pt idx="12">
                  <c:v>199</c:v>
                </c:pt>
              </c:numCache>
            </c:numRef>
          </c:val>
          <c:smooth val="0"/>
        </c:ser>
        <c:ser>
          <c:idx val="2"/>
          <c:order val="2"/>
          <c:tx>
            <c:v>Pr</c:v>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Separation_factors!$C$7:$O$7</c:f>
              <c:numCache>
                <c:formatCode>General</c:formatCode>
                <c:ptCount val="13"/>
                <c:pt idx="2">
                  <c:v>1.06</c:v>
                </c:pt>
                <c:pt idx="3">
                  <c:v>5.16</c:v>
                </c:pt>
                <c:pt idx="4">
                  <c:v>11.5</c:v>
                </c:pt>
                <c:pt idx="5">
                  <c:v>19.5</c:v>
                </c:pt>
                <c:pt idx="6">
                  <c:v>31.1</c:v>
                </c:pt>
                <c:pt idx="7">
                  <c:v>41.1</c:v>
                </c:pt>
                <c:pt idx="8">
                  <c:v>54.7</c:v>
                </c:pt>
                <c:pt idx="9">
                  <c:v>92.7</c:v>
                </c:pt>
                <c:pt idx="10">
                  <c:v>139</c:v>
                </c:pt>
                <c:pt idx="11">
                  <c:v>181</c:v>
                </c:pt>
                <c:pt idx="12">
                  <c:v>186</c:v>
                </c:pt>
              </c:numCache>
            </c:numRef>
          </c:val>
          <c:smooth val="0"/>
        </c:ser>
        <c:ser>
          <c:idx val="3"/>
          <c:order val="3"/>
          <c:tx>
            <c:strRef>
              <c:f>Separation_factors!$A$8</c:f>
              <c:strCache>
                <c:ptCount val="1"/>
                <c:pt idx="0">
                  <c:v>Nd</c:v>
                </c:pt>
              </c:strCache>
            </c:strRef>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Separation_factors!$C$8:$O$8</c:f>
              <c:numCache>
                <c:formatCode>General</c:formatCode>
                <c:ptCount val="13"/>
                <c:pt idx="3">
                  <c:v>4.8600000000000003</c:v>
                </c:pt>
                <c:pt idx="4">
                  <c:v>10.8</c:v>
                </c:pt>
                <c:pt idx="5">
                  <c:v>18.3</c:v>
                </c:pt>
                <c:pt idx="6">
                  <c:v>29.2</c:v>
                </c:pt>
                <c:pt idx="7">
                  <c:v>41.5</c:v>
                </c:pt>
                <c:pt idx="8">
                  <c:v>51.3</c:v>
                </c:pt>
                <c:pt idx="9">
                  <c:v>87.1</c:v>
                </c:pt>
                <c:pt idx="10">
                  <c:v>131</c:v>
                </c:pt>
                <c:pt idx="11">
                  <c:v>170</c:v>
                </c:pt>
                <c:pt idx="12">
                  <c:v>175</c:v>
                </c:pt>
              </c:numCache>
            </c:numRef>
          </c:val>
          <c:smooth val="0"/>
        </c:ser>
        <c:ser>
          <c:idx val="4"/>
          <c:order val="4"/>
          <c:tx>
            <c:strRef>
              <c:f>Separation_factors!$A$9</c:f>
              <c:strCache>
                <c:ptCount val="1"/>
                <c:pt idx="0">
                  <c:v>Sm</c:v>
                </c:pt>
              </c:strCache>
            </c:strRef>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Separation_factors!$C$9:$O$9</c:f>
              <c:numCache>
                <c:formatCode>General</c:formatCode>
                <c:ptCount val="13"/>
                <c:pt idx="4">
                  <c:v>2.23</c:v>
                </c:pt>
                <c:pt idx="5">
                  <c:v>3.75</c:v>
                </c:pt>
                <c:pt idx="6">
                  <c:v>6.02</c:v>
                </c:pt>
                <c:pt idx="7">
                  <c:v>8.5500000000000007</c:v>
                </c:pt>
                <c:pt idx="8">
                  <c:v>10.6</c:v>
                </c:pt>
                <c:pt idx="9">
                  <c:v>17.899999999999999</c:v>
                </c:pt>
                <c:pt idx="10">
                  <c:v>27</c:v>
                </c:pt>
                <c:pt idx="11">
                  <c:v>35.1</c:v>
                </c:pt>
                <c:pt idx="12">
                  <c:v>36</c:v>
                </c:pt>
              </c:numCache>
            </c:numRef>
          </c:val>
          <c:smooth val="0"/>
        </c:ser>
        <c:ser>
          <c:idx val="5"/>
          <c:order val="5"/>
          <c:tx>
            <c:strRef>
              <c:f>Separation_factors!$A$11</c:f>
              <c:strCache>
                <c:ptCount val="1"/>
                <c:pt idx="0">
                  <c:v>Gd</c:v>
                </c:pt>
              </c:strCache>
            </c:strRef>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Separation_factors!$C$11:$O$11</c:f>
              <c:numCache>
                <c:formatCode>General</c:formatCode>
                <c:ptCount val="13"/>
                <c:pt idx="6">
                  <c:v>1.6</c:v>
                </c:pt>
                <c:pt idx="7">
                  <c:v>2.2599999999999998</c:v>
                </c:pt>
                <c:pt idx="8">
                  <c:v>2.8</c:v>
                </c:pt>
                <c:pt idx="9">
                  <c:v>4.75</c:v>
                </c:pt>
                <c:pt idx="10">
                  <c:v>7.15</c:v>
                </c:pt>
                <c:pt idx="11">
                  <c:v>9.3000000000000007</c:v>
                </c:pt>
                <c:pt idx="12">
                  <c:v>9.5500000000000007</c:v>
                </c:pt>
              </c:numCache>
            </c:numRef>
          </c:val>
          <c:smooth val="0"/>
        </c:ser>
        <c:ser>
          <c:idx val="6"/>
          <c:order val="6"/>
          <c:tx>
            <c:strRef>
              <c:f>Separation_factors!$A$12</c:f>
              <c:strCache>
                <c:ptCount val="1"/>
                <c:pt idx="0">
                  <c:v>Tb</c:v>
                </c:pt>
              </c:strCache>
            </c:strRef>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Separation_factors!$C$12:$O$12</c:f>
              <c:numCache>
                <c:formatCode>General</c:formatCode>
                <c:ptCount val="13"/>
                <c:pt idx="7">
                  <c:v>1.42</c:v>
                </c:pt>
                <c:pt idx="8">
                  <c:v>1.76</c:v>
                </c:pt>
                <c:pt idx="9">
                  <c:v>2.98</c:v>
                </c:pt>
                <c:pt idx="10">
                  <c:v>4.4800000000000004</c:v>
                </c:pt>
                <c:pt idx="11">
                  <c:v>5.83</c:v>
                </c:pt>
                <c:pt idx="12">
                  <c:v>5.9</c:v>
                </c:pt>
              </c:numCache>
            </c:numRef>
          </c:val>
          <c:smooth val="0"/>
        </c:ser>
        <c:ser>
          <c:idx val="7"/>
          <c:order val="7"/>
          <c:tx>
            <c:strRef>
              <c:f>Separation_factors!$A$13</c:f>
              <c:strCache>
                <c:ptCount val="1"/>
                <c:pt idx="0">
                  <c:v>Dy</c:v>
                </c:pt>
              </c:strCache>
            </c:strRef>
          </c:tx>
          <c:marker>
            <c:symbol val="none"/>
          </c:marker>
          <c:cat>
            <c:strRef>
              <c:f>Separation_factors!$C$4:$O$4</c:f>
              <c:strCache>
                <c:ptCount val="13"/>
                <c:pt idx="0">
                  <c:v>Ce</c:v>
                </c:pt>
                <c:pt idx="1">
                  <c:v>Pr</c:v>
                </c:pt>
                <c:pt idx="2">
                  <c:v>Nd</c:v>
                </c:pt>
                <c:pt idx="3">
                  <c:v>Sm</c:v>
                </c:pt>
                <c:pt idx="4">
                  <c:v>Eu</c:v>
                </c:pt>
                <c:pt idx="5">
                  <c:v>Gd</c:v>
                </c:pt>
                <c:pt idx="6">
                  <c:v>Tb</c:v>
                </c:pt>
                <c:pt idx="7">
                  <c:v>Dy</c:v>
                </c:pt>
                <c:pt idx="8">
                  <c:v>Ho</c:v>
                </c:pt>
                <c:pt idx="9">
                  <c:v>Er</c:v>
                </c:pt>
                <c:pt idx="10">
                  <c:v>Tm</c:v>
                </c:pt>
                <c:pt idx="11">
                  <c:v>Yb</c:v>
                </c:pt>
                <c:pt idx="12">
                  <c:v>Lu</c:v>
                </c:pt>
              </c:strCache>
            </c:strRef>
          </c:cat>
          <c:val>
            <c:numRef>
              <c:f>Separation_factors!$C$13:$O$13</c:f>
              <c:numCache>
                <c:formatCode>General</c:formatCode>
                <c:ptCount val="13"/>
                <c:pt idx="8">
                  <c:v>1.24</c:v>
                </c:pt>
                <c:pt idx="9">
                  <c:v>2.1</c:v>
                </c:pt>
                <c:pt idx="10">
                  <c:v>3.16</c:v>
                </c:pt>
                <c:pt idx="11">
                  <c:v>4.1100000000000003</c:v>
                </c:pt>
                <c:pt idx="12">
                  <c:v>4.22</c:v>
                </c:pt>
              </c:numCache>
            </c:numRef>
          </c:val>
          <c:smooth val="0"/>
        </c:ser>
        <c:dLbls>
          <c:showLegendKey val="0"/>
          <c:showVal val="0"/>
          <c:showCatName val="0"/>
          <c:showSerName val="0"/>
          <c:showPercent val="0"/>
          <c:showBubbleSize val="0"/>
        </c:dLbls>
        <c:marker val="1"/>
        <c:smooth val="0"/>
        <c:axId val="232426496"/>
        <c:axId val="232444672"/>
      </c:lineChart>
      <c:catAx>
        <c:axId val="232426496"/>
        <c:scaling>
          <c:orientation val="minMax"/>
        </c:scaling>
        <c:delete val="0"/>
        <c:axPos val="b"/>
        <c:majorTickMark val="out"/>
        <c:minorTickMark val="none"/>
        <c:tickLblPos val="nextTo"/>
        <c:crossAx val="232444672"/>
        <c:crosses val="autoZero"/>
        <c:auto val="1"/>
        <c:lblAlgn val="ctr"/>
        <c:lblOffset val="100"/>
        <c:noMultiLvlLbl val="0"/>
      </c:catAx>
      <c:valAx>
        <c:axId val="232444672"/>
        <c:scaling>
          <c:logBase val="10"/>
          <c:orientation val="minMax"/>
        </c:scaling>
        <c:delete val="0"/>
        <c:axPos val="l"/>
        <c:majorGridlines/>
        <c:numFmt formatCode="General" sourceLinked="1"/>
        <c:majorTickMark val="out"/>
        <c:minorTickMark val="out"/>
        <c:tickLblPos val="nextTo"/>
        <c:crossAx val="2324264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Separation_factors!$G$38</c:f>
              <c:strCache>
                <c:ptCount val="1"/>
                <c:pt idx="0">
                  <c:v>Calculated</c:v>
                </c:pt>
              </c:strCache>
            </c:strRef>
          </c:tx>
          <c:spPr>
            <a:ln w="28575">
              <a:noFill/>
            </a:ln>
          </c:spPr>
          <c:xVal>
            <c:numRef>
              <c:f>Separation_factors!$C$39:$C$73</c:f>
              <c:numCache>
                <c:formatCode>General</c:formatCode>
                <c:ptCount val="35"/>
                <c:pt idx="0">
                  <c:v>1.03</c:v>
                </c:pt>
                <c:pt idx="1">
                  <c:v>200</c:v>
                </c:pt>
                <c:pt idx="2">
                  <c:v>10000000</c:v>
                </c:pt>
                <c:pt idx="3">
                  <c:v>1.5</c:v>
                </c:pt>
                <c:pt idx="4">
                  <c:v>2</c:v>
                </c:pt>
                <c:pt idx="5">
                  <c:v>2.5</c:v>
                </c:pt>
                <c:pt idx="6">
                  <c:v>3</c:v>
                </c:pt>
                <c:pt idx="7">
                  <c:v>3.5</c:v>
                </c:pt>
                <c:pt idx="8">
                  <c:v>4</c:v>
                </c:pt>
                <c:pt idx="9">
                  <c:v>4.5</c:v>
                </c:pt>
                <c:pt idx="10">
                  <c:v>5</c:v>
                </c:pt>
                <c:pt idx="11">
                  <c:v>5.5</c:v>
                </c:pt>
                <c:pt idx="12">
                  <c:v>6</c:v>
                </c:pt>
                <c:pt idx="13">
                  <c:v>1.04</c:v>
                </c:pt>
                <c:pt idx="14">
                  <c:v>1.1000000000000001</c:v>
                </c:pt>
                <c:pt idx="15">
                  <c:v>10</c:v>
                </c:pt>
                <c:pt idx="16">
                  <c:v>20</c:v>
                </c:pt>
                <c:pt idx="17">
                  <c:v>30</c:v>
                </c:pt>
                <c:pt idx="18">
                  <c:v>40</c:v>
                </c:pt>
                <c:pt idx="19">
                  <c:v>50</c:v>
                </c:pt>
                <c:pt idx="20">
                  <c:v>60</c:v>
                </c:pt>
                <c:pt idx="21">
                  <c:v>70</c:v>
                </c:pt>
                <c:pt idx="22">
                  <c:v>80</c:v>
                </c:pt>
                <c:pt idx="23">
                  <c:v>90</c:v>
                </c:pt>
                <c:pt idx="24">
                  <c:v>100</c:v>
                </c:pt>
                <c:pt idx="25">
                  <c:v>110</c:v>
                </c:pt>
                <c:pt idx="26">
                  <c:v>120</c:v>
                </c:pt>
                <c:pt idx="27">
                  <c:v>130</c:v>
                </c:pt>
                <c:pt idx="28">
                  <c:v>140</c:v>
                </c:pt>
                <c:pt idx="29">
                  <c:v>150</c:v>
                </c:pt>
                <c:pt idx="30">
                  <c:v>160</c:v>
                </c:pt>
                <c:pt idx="31">
                  <c:v>170</c:v>
                </c:pt>
                <c:pt idx="32">
                  <c:v>180</c:v>
                </c:pt>
                <c:pt idx="33">
                  <c:v>190</c:v>
                </c:pt>
                <c:pt idx="34">
                  <c:v>200</c:v>
                </c:pt>
              </c:numCache>
            </c:numRef>
          </c:xVal>
          <c:yVal>
            <c:numRef>
              <c:f>Separation_factors!$G$39:$G$73</c:f>
              <c:numCache>
                <c:formatCode>0.0000</c:formatCode>
                <c:ptCount val="35"/>
                <c:pt idx="0">
                  <c:v>19.906476690480552</c:v>
                </c:pt>
                <c:pt idx="1">
                  <c:v>2.0028378037718486</c:v>
                </c:pt>
                <c:pt idx="2">
                  <c:v>0.81225714478601663</c:v>
                </c:pt>
                <c:pt idx="3">
                  <c:v>8.7334366935519974</c:v>
                </c:pt>
                <c:pt idx="4">
                  <c:v>7.1863989894372295</c:v>
                </c:pt>
                <c:pt idx="5">
                  <c:v>6.4247904382024501</c:v>
                </c:pt>
                <c:pt idx="6">
                  <c:v>5.939900581364153</c:v>
                </c:pt>
                <c:pt idx="7">
                  <c:v>5.5926126848567304</c:v>
                </c:pt>
                <c:pt idx="8">
                  <c:v>5.3262478926391417</c:v>
                </c:pt>
                <c:pt idx="9">
                  <c:v>5.1125506868347799</c:v>
                </c:pt>
                <c:pt idx="10">
                  <c:v>4.9355564227207847</c:v>
                </c:pt>
                <c:pt idx="11">
                  <c:v>4.7854340557359318</c:v>
                </c:pt>
                <c:pt idx="12">
                  <c:v>4.6557353110645199</c:v>
                </c:pt>
                <c:pt idx="13">
                  <c:v>18.265552319499594</c:v>
                </c:pt>
                <c:pt idx="14">
                  <c:v>13.919785835246762</c:v>
                </c:pt>
                <c:pt idx="15">
                  <c:v>4.0053653339440141</c:v>
                </c:pt>
                <c:pt idx="16">
                  <c:v>3.3332844725677617</c:v>
                </c:pt>
                <c:pt idx="17">
                  <c:v>3.0168195590791633</c:v>
                </c:pt>
                <c:pt idx="18">
                  <c:v>2.8186707439501228</c:v>
                </c:pt>
                <c:pt idx="19">
                  <c:v>2.6780075570388471</c:v>
                </c:pt>
                <c:pt idx="20">
                  <c:v>2.5707171418297174</c:v>
                </c:pt>
                <c:pt idx="21">
                  <c:v>2.4849669361579063</c:v>
                </c:pt>
                <c:pt idx="22">
                  <c:v>2.4141404748560431</c:v>
                </c:pt>
                <c:pt idx="23">
                  <c:v>2.3541933368050878</c:v>
                </c:pt>
                <c:pt idx="24">
                  <c:v>2.3024874209442645</c:v>
                </c:pt>
                <c:pt idx="25">
                  <c:v>2.2572144848349187</c:v>
                </c:pt>
                <c:pt idx="26">
                  <c:v>2.2170856232509757</c:v>
                </c:pt>
                <c:pt idx="27">
                  <c:v>2.181152504845187</c:v>
                </c:pt>
                <c:pt idx="28">
                  <c:v>2.1486988304201184</c:v>
                </c:pt>
                <c:pt idx="29">
                  <c:v>2.1191714842246334</c:v>
                </c:pt>
                <c:pt idx="30">
                  <c:v>2.0921352372501278</c:v>
                </c:pt>
                <c:pt idx="31">
                  <c:v>2.0672420063612447</c:v>
                </c:pt>
                <c:pt idx="32">
                  <c:v>2.0442094273282723</c:v>
                </c:pt>
                <c:pt idx="33">
                  <c:v>2.0228055689752988</c:v>
                </c:pt>
                <c:pt idx="34">
                  <c:v>2.0028378037718486</c:v>
                </c:pt>
              </c:numCache>
            </c:numRef>
          </c:yVal>
          <c:smooth val="0"/>
        </c:ser>
        <c:ser>
          <c:idx val="1"/>
          <c:order val="1"/>
          <c:tx>
            <c:strRef>
              <c:f>Separation_factors!$H$38</c:f>
              <c:strCache>
                <c:ptCount val="1"/>
                <c:pt idx="0">
                  <c:v>Rounded</c:v>
                </c:pt>
              </c:strCache>
            </c:strRef>
          </c:tx>
          <c:spPr>
            <a:ln w="28575">
              <a:noFill/>
            </a:ln>
          </c:spPr>
          <c:xVal>
            <c:numRef>
              <c:f>Separation_factors!$C$39:$C$73</c:f>
              <c:numCache>
                <c:formatCode>General</c:formatCode>
                <c:ptCount val="35"/>
                <c:pt idx="0">
                  <c:v>1.03</c:v>
                </c:pt>
                <c:pt idx="1">
                  <c:v>200</c:v>
                </c:pt>
                <c:pt idx="2">
                  <c:v>10000000</c:v>
                </c:pt>
                <c:pt idx="3">
                  <c:v>1.5</c:v>
                </c:pt>
                <c:pt idx="4">
                  <c:v>2</c:v>
                </c:pt>
                <c:pt idx="5">
                  <c:v>2.5</c:v>
                </c:pt>
                <c:pt idx="6">
                  <c:v>3</c:v>
                </c:pt>
                <c:pt idx="7">
                  <c:v>3.5</c:v>
                </c:pt>
                <c:pt idx="8">
                  <c:v>4</c:v>
                </c:pt>
                <c:pt idx="9">
                  <c:v>4.5</c:v>
                </c:pt>
                <c:pt idx="10">
                  <c:v>5</c:v>
                </c:pt>
                <c:pt idx="11">
                  <c:v>5.5</c:v>
                </c:pt>
                <c:pt idx="12">
                  <c:v>6</c:v>
                </c:pt>
                <c:pt idx="13">
                  <c:v>1.04</c:v>
                </c:pt>
                <c:pt idx="14">
                  <c:v>1.1000000000000001</c:v>
                </c:pt>
                <c:pt idx="15">
                  <c:v>10</c:v>
                </c:pt>
                <c:pt idx="16">
                  <c:v>20</c:v>
                </c:pt>
                <c:pt idx="17">
                  <c:v>30</c:v>
                </c:pt>
                <c:pt idx="18">
                  <c:v>40</c:v>
                </c:pt>
                <c:pt idx="19">
                  <c:v>50</c:v>
                </c:pt>
                <c:pt idx="20">
                  <c:v>60</c:v>
                </c:pt>
                <c:pt idx="21">
                  <c:v>70</c:v>
                </c:pt>
                <c:pt idx="22">
                  <c:v>80</c:v>
                </c:pt>
                <c:pt idx="23">
                  <c:v>90</c:v>
                </c:pt>
                <c:pt idx="24">
                  <c:v>100</c:v>
                </c:pt>
                <c:pt idx="25">
                  <c:v>110</c:v>
                </c:pt>
                <c:pt idx="26">
                  <c:v>120</c:v>
                </c:pt>
                <c:pt idx="27">
                  <c:v>130</c:v>
                </c:pt>
                <c:pt idx="28">
                  <c:v>140</c:v>
                </c:pt>
                <c:pt idx="29">
                  <c:v>150</c:v>
                </c:pt>
                <c:pt idx="30">
                  <c:v>160</c:v>
                </c:pt>
                <c:pt idx="31">
                  <c:v>170</c:v>
                </c:pt>
                <c:pt idx="32">
                  <c:v>180</c:v>
                </c:pt>
                <c:pt idx="33">
                  <c:v>190</c:v>
                </c:pt>
                <c:pt idx="34">
                  <c:v>200</c:v>
                </c:pt>
              </c:numCache>
            </c:numRef>
          </c:xVal>
          <c:yVal>
            <c:numRef>
              <c:f>Separation_factors!$H$39:$H$73</c:f>
              <c:numCache>
                <c:formatCode>General</c:formatCode>
                <c:ptCount val="35"/>
                <c:pt idx="0">
                  <c:v>20</c:v>
                </c:pt>
                <c:pt idx="1">
                  <c:v>2</c:v>
                </c:pt>
                <c:pt idx="2">
                  <c:v>1</c:v>
                </c:pt>
                <c:pt idx="3">
                  <c:v>9</c:v>
                </c:pt>
                <c:pt idx="4">
                  <c:v>7</c:v>
                </c:pt>
                <c:pt idx="5">
                  <c:v>6</c:v>
                </c:pt>
                <c:pt idx="6">
                  <c:v>6</c:v>
                </c:pt>
                <c:pt idx="7">
                  <c:v>6</c:v>
                </c:pt>
                <c:pt idx="8">
                  <c:v>5</c:v>
                </c:pt>
                <c:pt idx="9">
                  <c:v>5</c:v>
                </c:pt>
                <c:pt idx="10">
                  <c:v>5</c:v>
                </c:pt>
                <c:pt idx="11">
                  <c:v>5</c:v>
                </c:pt>
                <c:pt idx="12">
                  <c:v>5</c:v>
                </c:pt>
                <c:pt idx="13">
                  <c:v>18</c:v>
                </c:pt>
                <c:pt idx="14">
                  <c:v>14</c:v>
                </c:pt>
                <c:pt idx="15">
                  <c:v>4</c:v>
                </c:pt>
                <c:pt idx="16">
                  <c:v>3</c:v>
                </c:pt>
                <c:pt idx="17">
                  <c:v>3</c:v>
                </c:pt>
                <c:pt idx="18">
                  <c:v>3</c:v>
                </c:pt>
                <c:pt idx="19">
                  <c:v>3</c:v>
                </c:pt>
                <c:pt idx="20">
                  <c:v>3</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numCache>
            </c:numRef>
          </c:yVal>
          <c:smooth val="0"/>
        </c:ser>
        <c:dLbls>
          <c:showLegendKey val="0"/>
          <c:showVal val="0"/>
          <c:showCatName val="0"/>
          <c:showSerName val="0"/>
          <c:showPercent val="0"/>
          <c:showBubbleSize val="0"/>
        </c:dLbls>
        <c:axId val="232563840"/>
        <c:axId val="232565760"/>
      </c:scatterChart>
      <c:valAx>
        <c:axId val="232563840"/>
        <c:scaling>
          <c:orientation val="minMax"/>
          <c:max val="200"/>
          <c:min val="0"/>
        </c:scaling>
        <c:delete val="0"/>
        <c:axPos val="b"/>
        <c:title>
          <c:tx>
            <c:rich>
              <a:bodyPr/>
              <a:lstStyle/>
              <a:p>
                <a:pPr>
                  <a:defRPr/>
                </a:pPr>
                <a:r>
                  <a:rPr lang="en-US"/>
                  <a:t>Separation factor</a:t>
                </a:r>
              </a:p>
            </c:rich>
          </c:tx>
          <c:layout/>
          <c:overlay val="0"/>
        </c:title>
        <c:numFmt formatCode="General" sourceLinked="1"/>
        <c:majorTickMark val="out"/>
        <c:minorTickMark val="none"/>
        <c:tickLblPos val="nextTo"/>
        <c:crossAx val="232565760"/>
        <c:crosses val="autoZero"/>
        <c:crossBetween val="midCat"/>
      </c:valAx>
      <c:valAx>
        <c:axId val="232565760"/>
        <c:scaling>
          <c:orientation val="minMax"/>
          <c:max val="25"/>
          <c:min val="0"/>
        </c:scaling>
        <c:delete val="0"/>
        <c:axPos val="l"/>
        <c:majorGridlines/>
        <c:title>
          <c:tx>
            <c:rich>
              <a:bodyPr rot="-5400000" vert="horz"/>
              <a:lstStyle/>
              <a:p>
                <a:pPr>
                  <a:defRPr/>
                </a:pPr>
                <a:r>
                  <a:rPr lang="en-US"/>
                  <a:t>Required number of stages</a:t>
                </a:r>
              </a:p>
            </c:rich>
          </c:tx>
          <c:layout/>
          <c:overlay val="0"/>
        </c:title>
        <c:numFmt formatCode="0" sourceLinked="0"/>
        <c:majorTickMark val="out"/>
        <c:minorTickMark val="out"/>
        <c:tickLblPos val="nextTo"/>
        <c:crossAx val="232563840"/>
        <c:crosses val="autoZero"/>
        <c:crossBetween val="midCat"/>
      </c:valAx>
    </c:plotArea>
    <c:legend>
      <c:legendPos val="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power"/>
            <c:dispRSqr val="1"/>
            <c:dispEq val="1"/>
            <c:trendlineLbl>
              <c:layout/>
              <c:numFmt formatCode="General" sourceLinked="0"/>
            </c:trendlineLbl>
          </c:trendline>
          <c:xVal>
            <c:numRef>
              <c:f>Separation_factors!$AB$38:$AB$42</c:f>
              <c:numCache>
                <c:formatCode>General</c:formatCode>
                <c:ptCount val="5"/>
                <c:pt idx="0">
                  <c:v>3.0000000000000027E-2</c:v>
                </c:pt>
                <c:pt idx="1">
                  <c:v>199</c:v>
                </c:pt>
                <c:pt idx="2">
                  <c:v>4</c:v>
                </c:pt>
                <c:pt idx="3">
                  <c:v>2</c:v>
                </c:pt>
                <c:pt idx="4">
                  <c:v>1</c:v>
                </c:pt>
              </c:numCache>
            </c:numRef>
          </c:xVal>
          <c:yVal>
            <c:numRef>
              <c:f>Separation_factors!$AC$38:$AC$42</c:f>
              <c:numCache>
                <c:formatCode>General</c:formatCode>
                <c:ptCount val="5"/>
                <c:pt idx="0">
                  <c:v>19.23</c:v>
                </c:pt>
                <c:pt idx="1">
                  <c:v>1.23</c:v>
                </c:pt>
                <c:pt idx="2">
                  <c:v>4.2300000000000004</c:v>
                </c:pt>
                <c:pt idx="3">
                  <c:v>5.23</c:v>
                </c:pt>
                <c:pt idx="4">
                  <c:v>6.23</c:v>
                </c:pt>
              </c:numCache>
            </c:numRef>
          </c:yVal>
          <c:smooth val="0"/>
        </c:ser>
        <c:ser>
          <c:idx val="1"/>
          <c:order val="1"/>
          <c:spPr>
            <a:ln w="28575">
              <a:noFill/>
            </a:ln>
          </c:spPr>
          <c:xVal>
            <c:numRef>
              <c:f>Separation_factors!$AB$71:$AB$75</c:f>
              <c:numCache>
                <c:formatCode>General</c:formatCode>
                <c:ptCount val="5"/>
              </c:numCache>
            </c:numRef>
          </c:xVal>
          <c:yVal>
            <c:numRef>
              <c:f>Separation_factors!$AP$71:$AP$75</c:f>
              <c:numCache>
                <c:formatCode>General</c:formatCode>
                <c:ptCount val="5"/>
              </c:numCache>
            </c:numRef>
          </c:yVal>
          <c:smooth val="0"/>
        </c:ser>
        <c:dLbls>
          <c:showLegendKey val="0"/>
          <c:showVal val="0"/>
          <c:showCatName val="0"/>
          <c:showSerName val="0"/>
          <c:showPercent val="0"/>
          <c:showBubbleSize val="0"/>
        </c:dLbls>
        <c:axId val="232821504"/>
        <c:axId val="232823424"/>
      </c:scatterChart>
      <c:valAx>
        <c:axId val="232821504"/>
        <c:scaling>
          <c:orientation val="minMax"/>
        </c:scaling>
        <c:delete val="0"/>
        <c:axPos val="b"/>
        <c:title>
          <c:tx>
            <c:rich>
              <a:bodyPr/>
              <a:lstStyle/>
              <a:p>
                <a:pPr>
                  <a:defRPr/>
                </a:pPr>
                <a:r>
                  <a:rPr lang="en-US"/>
                  <a:t>Separation factor</a:t>
                </a:r>
              </a:p>
            </c:rich>
          </c:tx>
          <c:layout/>
          <c:overlay val="0"/>
        </c:title>
        <c:numFmt formatCode="General" sourceLinked="1"/>
        <c:majorTickMark val="out"/>
        <c:minorTickMark val="none"/>
        <c:tickLblPos val="nextTo"/>
        <c:crossAx val="232823424"/>
        <c:crosses val="autoZero"/>
        <c:crossBetween val="midCat"/>
      </c:valAx>
      <c:valAx>
        <c:axId val="232823424"/>
        <c:scaling>
          <c:orientation val="minMax"/>
        </c:scaling>
        <c:delete val="0"/>
        <c:axPos val="l"/>
        <c:majorGridlines/>
        <c:title>
          <c:tx>
            <c:rich>
              <a:bodyPr rot="-5400000" vert="horz"/>
              <a:lstStyle/>
              <a:p>
                <a:pPr>
                  <a:defRPr/>
                </a:pPr>
                <a:r>
                  <a:rPr lang="en-US"/>
                  <a:t>Target number of stages</a:t>
                </a:r>
              </a:p>
            </c:rich>
          </c:tx>
          <c:layout/>
          <c:overlay val="0"/>
        </c:title>
        <c:numFmt formatCode="General" sourceLinked="1"/>
        <c:majorTickMark val="out"/>
        <c:minorTickMark val="none"/>
        <c:tickLblPos val="nextTo"/>
        <c:crossAx val="23282150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strRef>
              <c:f>Separation_factors!$H$38</c:f>
              <c:strCache>
                <c:ptCount val="1"/>
                <c:pt idx="0">
                  <c:v>Rounded</c:v>
                </c:pt>
              </c:strCache>
            </c:strRef>
          </c:tx>
          <c:spPr>
            <a:ln w="28575">
              <a:noFill/>
            </a:ln>
          </c:spPr>
          <c:xVal>
            <c:numRef>
              <c:f>Separation_factors!$C$39:$C$73</c:f>
              <c:numCache>
                <c:formatCode>General</c:formatCode>
                <c:ptCount val="35"/>
                <c:pt idx="0">
                  <c:v>1.03</c:v>
                </c:pt>
                <c:pt idx="1">
                  <c:v>200</c:v>
                </c:pt>
                <c:pt idx="2">
                  <c:v>10000000</c:v>
                </c:pt>
                <c:pt idx="3">
                  <c:v>1.5</c:v>
                </c:pt>
                <c:pt idx="4">
                  <c:v>2</c:v>
                </c:pt>
                <c:pt idx="5">
                  <c:v>2.5</c:v>
                </c:pt>
                <c:pt idx="6">
                  <c:v>3</c:v>
                </c:pt>
                <c:pt idx="7">
                  <c:v>3.5</c:v>
                </c:pt>
                <c:pt idx="8">
                  <c:v>4</c:v>
                </c:pt>
                <c:pt idx="9">
                  <c:v>4.5</c:v>
                </c:pt>
                <c:pt idx="10">
                  <c:v>5</c:v>
                </c:pt>
                <c:pt idx="11">
                  <c:v>5.5</c:v>
                </c:pt>
                <c:pt idx="12">
                  <c:v>6</c:v>
                </c:pt>
                <c:pt idx="13">
                  <c:v>1.04</c:v>
                </c:pt>
                <c:pt idx="14">
                  <c:v>1.1000000000000001</c:v>
                </c:pt>
                <c:pt idx="15">
                  <c:v>10</c:v>
                </c:pt>
                <c:pt idx="16">
                  <c:v>20</c:v>
                </c:pt>
                <c:pt idx="17">
                  <c:v>30</c:v>
                </c:pt>
                <c:pt idx="18">
                  <c:v>40</c:v>
                </c:pt>
                <c:pt idx="19">
                  <c:v>50</c:v>
                </c:pt>
                <c:pt idx="20">
                  <c:v>60</c:v>
                </c:pt>
                <c:pt idx="21">
                  <c:v>70</c:v>
                </c:pt>
                <c:pt idx="22">
                  <c:v>80</c:v>
                </c:pt>
                <c:pt idx="23">
                  <c:v>90</c:v>
                </c:pt>
                <c:pt idx="24">
                  <c:v>100</c:v>
                </c:pt>
                <c:pt idx="25">
                  <c:v>110</c:v>
                </c:pt>
                <c:pt idx="26">
                  <c:v>120</c:v>
                </c:pt>
                <c:pt idx="27">
                  <c:v>130</c:v>
                </c:pt>
                <c:pt idx="28">
                  <c:v>140</c:v>
                </c:pt>
                <c:pt idx="29">
                  <c:v>150</c:v>
                </c:pt>
                <c:pt idx="30">
                  <c:v>160</c:v>
                </c:pt>
                <c:pt idx="31">
                  <c:v>170</c:v>
                </c:pt>
                <c:pt idx="32">
                  <c:v>180</c:v>
                </c:pt>
                <c:pt idx="33">
                  <c:v>190</c:v>
                </c:pt>
                <c:pt idx="34">
                  <c:v>200</c:v>
                </c:pt>
              </c:numCache>
            </c:numRef>
          </c:xVal>
          <c:yVal>
            <c:numRef>
              <c:f>Separation_factors!$H$39:$H$73</c:f>
              <c:numCache>
                <c:formatCode>General</c:formatCode>
                <c:ptCount val="35"/>
                <c:pt idx="0">
                  <c:v>20</c:v>
                </c:pt>
                <c:pt idx="1">
                  <c:v>2</c:v>
                </c:pt>
                <c:pt idx="2">
                  <c:v>1</c:v>
                </c:pt>
                <c:pt idx="3">
                  <c:v>9</c:v>
                </c:pt>
                <c:pt idx="4">
                  <c:v>7</c:v>
                </c:pt>
                <c:pt idx="5">
                  <c:v>6</c:v>
                </c:pt>
                <c:pt idx="6">
                  <c:v>6</c:v>
                </c:pt>
                <c:pt idx="7">
                  <c:v>6</c:v>
                </c:pt>
                <c:pt idx="8">
                  <c:v>5</c:v>
                </c:pt>
                <c:pt idx="9">
                  <c:v>5</c:v>
                </c:pt>
                <c:pt idx="10">
                  <c:v>5</c:v>
                </c:pt>
                <c:pt idx="11">
                  <c:v>5</c:v>
                </c:pt>
                <c:pt idx="12">
                  <c:v>5</c:v>
                </c:pt>
                <c:pt idx="13">
                  <c:v>18</c:v>
                </c:pt>
                <c:pt idx="14">
                  <c:v>14</c:v>
                </c:pt>
                <c:pt idx="15">
                  <c:v>4</c:v>
                </c:pt>
                <c:pt idx="16">
                  <c:v>3</c:v>
                </c:pt>
                <c:pt idx="17">
                  <c:v>3</c:v>
                </c:pt>
                <c:pt idx="18">
                  <c:v>3</c:v>
                </c:pt>
                <c:pt idx="19">
                  <c:v>3</c:v>
                </c:pt>
                <c:pt idx="20">
                  <c:v>3</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numCache>
            </c:numRef>
          </c:yVal>
          <c:smooth val="0"/>
        </c:ser>
        <c:dLbls>
          <c:showLegendKey val="0"/>
          <c:showVal val="0"/>
          <c:showCatName val="0"/>
          <c:showSerName val="0"/>
          <c:showPercent val="0"/>
          <c:showBubbleSize val="0"/>
        </c:dLbls>
        <c:axId val="232929920"/>
        <c:axId val="232940288"/>
      </c:scatterChart>
      <c:valAx>
        <c:axId val="232929920"/>
        <c:scaling>
          <c:orientation val="minMax"/>
          <c:max val="10"/>
          <c:min val="0"/>
        </c:scaling>
        <c:delete val="0"/>
        <c:axPos val="b"/>
        <c:title>
          <c:tx>
            <c:rich>
              <a:bodyPr/>
              <a:lstStyle/>
              <a:p>
                <a:pPr>
                  <a:defRPr/>
                </a:pPr>
                <a:r>
                  <a:rPr lang="en-US"/>
                  <a:t>Separation factor</a:t>
                </a:r>
              </a:p>
            </c:rich>
          </c:tx>
          <c:layout/>
          <c:overlay val="0"/>
        </c:title>
        <c:numFmt formatCode="General" sourceLinked="1"/>
        <c:majorTickMark val="out"/>
        <c:minorTickMark val="none"/>
        <c:tickLblPos val="nextTo"/>
        <c:crossAx val="232940288"/>
        <c:crosses val="autoZero"/>
        <c:crossBetween val="midCat"/>
      </c:valAx>
      <c:valAx>
        <c:axId val="232940288"/>
        <c:scaling>
          <c:orientation val="minMax"/>
          <c:max val="25"/>
          <c:min val="0"/>
        </c:scaling>
        <c:delete val="0"/>
        <c:axPos val="l"/>
        <c:majorGridlines/>
        <c:title>
          <c:tx>
            <c:rich>
              <a:bodyPr rot="-5400000" vert="horz"/>
              <a:lstStyle/>
              <a:p>
                <a:pPr>
                  <a:defRPr/>
                </a:pPr>
                <a:r>
                  <a:rPr lang="en-US"/>
                  <a:t>Required number of stages</a:t>
                </a:r>
              </a:p>
            </c:rich>
          </c:tx>
          <c:layout/>
          <c:overlay val="0"/>
        </c:title>
        <c:numFmt formatCode="0" sourceLinked="0"/>
        <c:majorTickMark val="out"/>
        <c:minorTickMark val="out"/>
        <c:tickLblPos val="nextTo"/>
        <c:crossAx val="232929920"/>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35</xdr:row>
      <xdr:rowOff>38100</xdr:rowOff>
    </xdr:from>
    <xdr:to>
      <xdr:col>13</xdr:col>
      <xdr:colOff>0</xdr:colOff>
      <xdr:row>49</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438150</xdr:colOff>
      <xdr:row>29</xdr:row>
      <xdr:rowOff>47625</xdr:rowOff>
    </xdr:from>
    <xdr:to>
      <xdr:col>21</xdr:col>
      <xdr:colOff>438150</xdr:colOff>
      <xdr:row>39</xdr:row>
      <xdr:rowOff>47625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29</xdr:row>
      <xdr:rowOff>47625</xdr:rowOff>
    </xdr:from>
    <xdr:to>
      <xdr:col>15</xdr:col>
      <xdr:colOff>276225</xdr:colOff>
      <xdr:row>39</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247650</xdr:colOff>
      <xdr:row>9</xdr:row>
      <xdr:rowOff>147637</xdr:rowOff>
    </xdr:from>
    <xdr:to>
      <xdr:col>21</xdr:col>
      <xdr:colOff>552450</xdr:colOff>
      <xdr:row>26</xdr:row>
      <xdr:rowOff>14287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17</xdr:col>
      <xdr:colOff>87966</xdr:colOff>
      <xdr:row>19</xdr:row>
      <xdr:rowOff>147919</xdr:rowOff>
    </xdr:from>
    <xdr:to>
      <xdr:col>25</xdr:col>
      <xdr:colOff>540684</xdr:colOff>
      <xdr:row>40</xdr:row>
      <xdr:rowOff>166969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201144</xdr:colOff>
      <xdr:row>37</xdr:row>
      <xdr:rowOff>176212</xdr:rowOff>
    </xdr:from>
    <xdr:to>
      <xdr:col>17</xdr:col>
      <xdr:colOff>241485</xdr:colOff>
      <xdr:row>73</xdr:row>
      <xdr:rowOff>89646</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358589</xdr:colOff>
      <xdr:row>43</xdr:row>
      <xdr:rowOff>135590</xdr:rowOff>
    </xdr:from>
    <xdr:to>
      <xdr:col>40</xdr:col>
      <xdr:colOff>145676</xdr:colOff>
      <xdr:row>65</xdr:row>
      <xdr:rowOff>145676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358588</xdr:colOff>
      <xdr:row>34</xdr:row>
      <xdr:rowOff>145676</xdr:rowOff>
    </xdr:from>
    <xdr:to>
      <xdr:col>19</xdr:col>
      <xdr:colOff>251012</xdr:colOff>
      <xdr:row>53</xdr:row>
      <xdr:rowOff>183776</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289832</xdr:colOff>
      <xdr:row>1</xdr:row>
      <xdr:rowOff>63273</xdr:rowOff>
    </xdr:from>
    <xdr:to>
      <xdr:col>11</xdr:col>
      <xdr:colOff>510785</xdr:colOff>
      <xdr:row>23</xdr:row>
      <xdr:rowOff>83524</xdr:rowOff>
    </xdr:to>
    <xdr:grpSp>
      <xdr:nvGrpSpPr>
        <xdr:cNvPr id="47" name="Group 46"/>
        <xdr:cNvGrpSpPr/>
      </xdr:nvGrpSpPr>
      <xdr:grpSpPr>
        <a:xfrm>
          <a:off x="289832" y="253773"/>
          <a:ext cx="6926553" cy="4211251"/>
          <a:chOff x="289832" y="253773"/>
          <a:chExt cx="6926553" cy="4211251"/>
        </a:xfrm>
      </xdr:grpSpPr>
      <xdr:grpSp>
        <xdr:nvGrpSpPr>
          <xdr:cNvPr id="2" name="Legend"/>
          <xdr:cNvGrpSpPr/>
        </xdr:nvGrpSpPr>
        <xdr:grpSpPr>
          <a:xfrm>
            <a:off x="2237014" y="3706586"/>
            <a:ext cx="1813083" cy="758438"/>
            <a:chOff x="7457181" y="3134295"/>
            <a:chExt cx="1821248" cy="726998"/>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0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4"/>
              <a:ext cx="58156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Process</a:t>
              </a:r>
            </a:p>
          </xdr:txBody>
        </xdr:sp>
        <xdr:sp macro="" textlink="">
          <xdr:nvSpPr>
            <xdr:cNvPr id="6" name="TextBox 5"/>
            <xdr:cNvSpPr txBox="1"/>
          </xdr:nvSpPr>
          <xdr:spPr>
            <a:xfrm>
              <a:off x="7766540" y="3622758"/>
              <a:ext cx="1511889"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t>Upstream Emissions</a:t>
              </a:r>
              <a:r>
                <a:rPr lang="en-US" sz="1000" baseline="0"/>
                <a:t> Data</a:t>
              </a:r>
              <a:endParaRPr lang="en-US" sz="1000"/>
            </a:p>
          </xdr:txBody>
        </xdr:sp>
        <xdr:sp macro="" textlink="">
          <xdr:nvSpPr>
            <xdr:cNvPr id="7" name="TextBox 6"/>
            <xdr:cNvSpPr txBox="1"/>
          </xdr:nvSpPr>
          <xdr:spPr>
            <a:xfrm>
              <a:off x="7457181" y="3134295"/>
              <a:ext cx="380104" cy="2385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t>Key</a:t>
              </a:r>
            </a:p>
          </xdr:txBody>
        </xdr:sp>
      </xdr:grpSp>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Rare earths solvent extraction: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Separation of rare earth chlorides using di-(2-ethylhexyl)-phosphoric acid and mixer-settlers</a:t>
            </a:r>
          </a:p>
        </xdr:txBody>
      </xdr:sp>
      <xdr:sp macro="" textlink="">
        <xdr:nvSpPr>
          <xdr:cNvPr id="12" name="Process"/>
          <xdr:cNvSpPr/>
        </xdr:nvSpPr>
        <xdr:spPr>
          <a:xfrm>
            <a:off x="4589022" y="3551465"/>
            <a:ext cx="1747158" cy="73152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Selected rare earth chlroide hexahydrate</a:t>
            </a:r>
          </a:p>
        </xdr:txBody>
      </xdr:sp>
      <xdr:cxnSp macro="">
        <xdr:nvCxnSpPr>
          <xdr:cNvPr id="14" name="Straight Arrow Connector 13"/>
          <xdr:cNvCxnSpPr>
            <a:stCxn id="9" idx="2"/>
            <a:endCxn id="12" idx="0"/>
          </xdr:cNvCxnSpPr>
        </xdr:nvCxnSpPr>
        <xdr:spPr>
          <a:xfrm>
            <a:off x="5462601" y="2748094"/>
            <a:ext cx="0" cy="8033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 name="Flowchart: Data 17"/>
          <xdr:cNvSpPr/>
        </xdr:nvSpPr>
        <xdr:spPr>
          <a:xfrm>
            <a:off x="291193" y="281395"/>
            <a:ext cx="1583871"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rare earth chloride</a:t>
            </a:r>
            <a:r>
              <a:rPr lang="en-US" sz="1100" baseline="0">
                <a:solidFill>
                  <a:schemeClr val="tx1"/>
                </a:solidFill>
              </a:rPr>
              <a:t> concentrate</a:t>
            </a:r>
            <a:endParaRPr lang="en-US" sz="1100">
              <a:solidFill>
                <a:schemeClr val="tx1"/>
              </a:solidFill>
            </a:endParaRPr>
          </a:p>
        </xdr:txBody>
      </xdr:sp>
      <xdr:sp macro="" textlink="">
        <xdr:nvSpPr>
          <xdr:cNvPr id="19" name="Flowchart: Data 18"/>
          <xdr:cNvSpPr/>
        </xdr:nvSpPr>
        <xdr:spPr>
          <a:xfrm>
            <a:off x="1828800" y="713422"/>
            <a:ext cx="1586592"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di-(2-ethylhexyl)</a:t>
            </a:r>
            <a:r>
              <a:rPr lang="en-US" sz="1100" baseline="0">
                <a:solidFill>
                  <a:schemeClr val="tx1"/>
                </a:solidFill>
              </a:rPr>
              <a:t> phosphoric acid</a:t>
            </a:r>
            <a:endParaRPr lang="en-US" sz="1100">
              <a:solidFill>
                <a:schemeClr val="tx1"/>
              </a:solidFill>
            </a:endParaRPr>
          </a:p>
        </xdr:txBody>
      </xdr:sp>
      <xdr:sp macro="" textlink="">
        <xdr:nvSpPr>
          <xdr:cNvPr id="20" name="Flowchart: Data 19"/>
          <xdr:cNvSpPr/>
        </xdr:nvSpPr>
        <xdr:spPr>
          <a:xfrm>
            <a:off x="289832" y="1161097"/>
            <a:ext cx="1586592"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Kerosene</a:t>
            </a:r>
          </a:p>
        </xdr:txBody>
      </xdr:sp>
      <xdr:sp macro="" textlink="">
        <xdr:nvSpPr>
          <xdr:cNvPr id="21" name="Flowchart: Data 20"/>
          <xdr:cNvSpPr/>
        </xdr:nvSpPr>
        <xdr:spPr>
          <a:xfrm>
            <a:off x="1828800" y="1604010"/>
            <a:ext cx="1586592"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Caustic</a:t>
            </a:r>
            <a:r>
              <a:rPr lang="en-US" sz="1100" baseline="0">
                <a:solidFill>
                  <a:schemeClr val="tx1"/>
                </a:solidFill>
              </a:rPr>
              <a:t> soda (50%)</a:t>
            </a:r>
            <a:endParaRPr lang="en-US" sz="1100">
              <a:solidFill>
                <a:schemeClr val="tx1"/>
              </a:solidFill>
            </a:endParaRPr>
          </a:p>
        </xdr:txBody>
      </xdr:sp>
      <xdr:sp macro="" textlink="">
        <xdr:nvSpPr>
          <xdr:cNvPr id="22" name="Flowchart: Data 21"/>
          <xdr:cNvSpPr/>
        </xdr:nvSpPr>
        <xdr:spPr>
          <a:xfrm>
            <a:off x="289832" y="2041684"/>
            <a:ext cx="1586592"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Electricity</a:t>
            </a:r>
          </a:p>
        </xdr:txBody>
      </xdr:sp>
      <xdr:sp macro="" textlink="">
        <xdr:nvSpPr>
          <xdr:cNvPr id="23" name="Flowchart: Data 22"/>
          <xdr:cNvSpPr/>
        </xdr:nvSpPr>
        <xdr:spPr>
          <a:xfrm>
            <a:off x="1828800" y="2504122"/>
            <a:ext cx="1586592" cy="640080"/>
          </a:xfrm>
          <a:prstGeom prst="flowChartInputOutpu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18288" rIns="18288" bIns="18288" rtlCol="0" anchor="ctr"/>
          <a:lstStyle/>
          <a:p>
            <a:pPr algn="ctr"/>
            <a:r>
              <a:rPr lang="en-US" sz="1100">
                <a:solidFill>
                  <a:schemeClr val="tx1"/>
                </a:solidFill>
              </a:rPr>
              <a:t>Water</a:t>
            </a:r>
          </a:p>
        </xdr:txBody>
      </xdr:sp>
      <xdr:sp macro="" textlink="">
        <xdr:nvSpPr>
          <xdr:cNvPr id="24" name="Rectangle 23"/>
          <xdr:cNvSpPr/>
        </xdr:nvSpPr>
        <xdr:spPr>
          <a:xfrm>
            <a:off x="3543300" y="253773"/>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5" name="Rectangle 24"/>
          <xdr:cNvSpPr/>
        </xdr:nvSpPr>
        <xdr:spPr>
          <a:xfrm>
            <a:off x="3552825" y="685800"/>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Rectangle 25"/>
          <xdr:cNvSpPr/>
        </xdr:nvSpPr>
        <xdr:spPr>
          <a:xfrm>
            <a:off x="3533775" y="1133475"/>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Rectangle 26"/>
          <xdr:cNvSpPr/>
        </xdr:nvSpPr>
        <xdr:spPr>
          <a:xfrm>
            <a:off x="3552825" y="1576388"/>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8" name="Rectangle 27"/>
          <xdr:cNvSpPr/>
        </xdr:nvSpPr>
        <xdr:spPr>
          <a:xfrm>
            <a:off x="3552825" y="2014062"/>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32" name="Straight Connector 31"/>
          <xdr:cNvCxnSpPr>
            <a:stCxn id="18" idx="5"/>
            <a:endCxn id="24" idx="3"/>
          </xdr:cNvCxnSpPr>
        </xdr:nvCxnSpPr>
        <xdr:spPr>
          <a:xfrm>
            <a:off x="1716677" y="601435"/>
            <a:ext cx="1835767"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a:stCxn id="19" idx="5"/>
            <a:endCxn id="25" idx="1"/>
          </xdr:cNvCxnSpPr>
        </xdr:nvCxnSpPr>
        <xdr:spPr>
          <a:xfrm>
            <a:off x="3256733" y="1033462"/>
            <a:ext cx="296092"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xdr:cNvCxnSpPr>
            <a:stCxn id="20" idx="5"/>
            <a:endCxn id="26" idx="1"/>
          </xdr:cNvCxnSpPr>
        </xdr:nvCxnSpPr>
        <xdr:spPr>
          <a:xfrm>
            <a:off x="1717765" y="1481137"/>
            <a:ext cx="1816010"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a:stCxn id="21" idx="5"/>
            <a:endCxn id="27" idx="1"/>
          </xdr:cNvCxnSpPr>
        </xdr:nvCxnSpPr>
        <xdr:spPr>
          <a:xfrm>
            <a:off x="3256733" y="1924050"/>
            <a:ext cx="296092"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a:stCxn id="22" idx="5"/>
            <a:endCxn id="28" idx="1"/>
          </xdr:cNvCxnSpPr>
        </xdr:nvCxnSpPr>
        <xdr:spPr>
          <a:xfrm>
            <a:off x="1717765" y="2361724"/>
            <a:ext cx="1835060"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4" name="Rectangle 43"/>
          <xdr:cNvSpPr/>
        </xdr:nvSpPr>
        <xdr:spPr>
          <a:xfrm>
            <a:off x="3552825" y="2476500"/>
            <a:ext cx="9144"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46" name="Straight Connector 45"/>
          <xdr:cNvCxnSpPr>
            <a:stCxn id="23" idx="5"/>
            <a:endCxn id="44" idx="1"/>
          </xdr:cNvCxnSpPr>
        </xdr:nvCxnSpPr>
        <xdr:spPr>
          <a:xfrm>
            <a:off x="3256733" y="2824162"/>
            <a:ext cx="296092" cy="1"/>
          </a:xfrm>
          <a:prstGeom prst="line">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pa.gov/climatechange/Downloads/ghgemissions/US-GHG-Inventory-2014-Annex-6-Additional-Information.pdf" TargetMode="External"/><Relationship Id="rId2" Type="http://schemas.openxmlformats.org/officeDocument/2006/relationships/hyperlink" Target="http://www.quinnprocess.com/QPECBrochures/12-SolventExtraction(MixerSettler)/QPEC-Brochure-txt_SX001.pdf" TargetMode="External"/><Relationship Id="rId1" Type="http://schemas.openxmlformats.org/officeDocument/2006/relationships/hyperlink" Target="http://pubchem.ncbi.nlm.nih.gov/summary/summary.cgi?cid=9275" TargetMode="External"/><Relationship Id="rId5" Type="http://schemas.openxmlformats.org/officeDocument/2006/relationships/printerSettings" Target="../printerSettings/printerSettings4.bin"/><Relationship Id="rId4" Type="http://schemas.openxmlformats.org/officeDocument/2006/relationships/hyperlink" Target="http://www.sec.gov/Archives/edgar/data/1489137/000095012310065239/d74323fwfwp.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9"/>
  <sheetViews>
    <sheetView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34" t="s">
        <v>0</v>
      </c>
      <c r="B1" s="334"/>
      <c r="C1" s="334"/>
      <c r="D1" s="334"/>
      <c r="E1" s="334"/>
      <c r="F1" s="334"/>
      <c r="G1" s="334"/>
      <c r="H1" s="334"/>
      <c r="I1" s="334"/>
      <c r="J1" s="334"/>
      <c r="K1" s="334"/>
      <c r="L1" s="334"/>
      <c r="M1" s="334"/>
      <c r="N1" s="334"/>
      <c r="O1" s="1"/>
    </row>
    <row r="2" spans="1:27" ht="21" thickBot="1" x14ac:dyDescent="0.35">
      <c r="A2" s="334" t="s">
        <v>1</v>
      </c>
      <c r="B2" s="334"/>
      <c r="C2" s="334"/>
      <c r="D2" s="334"/>
      <c r="E2" s="334"/>
      <c r="F2" s="334"/>
      <c r="G2" s="334"/>
      <c r="H2" s="334"/>
      <c r="I2" s="334"/>
      <c r="J2" s="334"/>
      <c r="K2" s="334"/>
      <c r="L2" s="334"/>
      <c r="M2" s="334"/>
      <c r="N2" s="334"/>
      <c r="O2" s="1"/>
    </row>
    <row r="3" spans="1:27" ht="12.75" customHeight="1" thickBot="1" x14ac:dyDescent="0.25">
      <c r="B3" s="2"/>
      <c r="C3" s="4" t="s">
        <v>2</v>
      </c>
      <c r="D3" s="5" t="str">
        <f>'Data Summary'!D4</f>
        <v>Rare earths solvent extraction</v>
      </c>
      <c r="E3" s="6"/>
      <c r="F3" s="6"/>
      <c r="G3" s="6"/>
      <c r="H3" s="6"/>
      <c r="I3" s="6"/>
      <c r="J3" s="6"/>
      <c r="K3" s="6"/>
      <c r="L3" s="6"/>
      <c r="M3" s="7"/>
      <c r="N3" s="2"/>
      <c r="O3" s="2"/>
    </row>
    <row r="4" spans="1:27" ht="42.75" customHeight="1" thickBot="1" x14ac:dyDescent="0.25">
      <c r="B4" s="2"/>
      <c r="C4" s="4" t="s">
        <v>3</v>
      </c>
      <c r="D4" s="335" t="str">
        <f>'Data Summary'!D6</f>
        <v>Separation of rare earth chlorides using di-(2-ethylhexyl)-phosphoric acid and mixer-settlers</v>
      </c>
      <c r="E4" s="336"/>
      <c r="F4" s="336"/>
      <c r="G4" s="336"/>
      <c r="H4" s="336"/>
      <c r="I4" s="336"/>
      <c r="J4" s="336"/>
      <c r="K4" s="336"/>
      <c r="L4" s="336"/>
      <c r="M4" s="337"/>
      <c r="N4" s="2"/>
      <c r="O4" s="2"/>
    </row>
    <row r="5" spans="1:27" ht="39" customHeight="1" thickBot="1" x14ac:dyDescent="0.25">
      <c r="B5" s="2"/>
      <c r="C5" s="4" t="s">
        <v>4</v>
      </c>
      <c r="D5" s="338" t="s">
        <v>749</v>
      </c>
      <c r="E5" s="339"/>
      <c r="F5" s="339"/>
      <c r="G5" s="339"/>
      <c r="H5" s="339"/>
      <c r="I5" s="339"/>
      <c r="J5" s="339"/>
      <c r="K5" s="339"/>
      <c r="L5" s="339"/>
      <c r="M5" s="340"/>
      <c r="N5" s="2"/>
      <c r="O5" s="2"/>
    </row>
    <row r="6" spans="1:27" ht="56.25" customHeight="1" thickBot="1" x14ac:dyDescent="0.25">
      <c r="B6" s="2"/>
      <c r="C6" s="8" t="s">
        <v>5</v>
      </c>
      <c r="D6" s="338" t="s">
        <v>6</v>
      </c>
      <c r="E6" s="339"/>
      <c r="F6" s="339"/>
      <c r="G6" s="339"/>
      <c r="H6" s="339"/>
      <c r="I6" s="339"/>
      <c r="J6" s="339"/>
      <c r="K6" s="339"/>
      <c r="L6" s="339"/>
      <c r="M6" s="34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28" t="s">
        <v>10</v>
      </c>
      <c r="C9" s="10" t="s">
        <v>11</v>
      </c>
      <c r="D9" s="330" t="s">
        <v>12</v>
      </c>
      <c r="E9" s="330"/>
      <c r="F9" s="330"/>
      <c r="G9" s="330"/>
      <c r="H9" s="330"/>
      <c r="I9" s="330"/>
      <c r="J9" s="330"/>
      <c r="K9" s="330"/>
      <c r="L9" s="330"/>
      <c r="M9" s="331"/>
      <c r="N9" s="2"/>
      <c r="O9" s="2"/>
      <c r="P9" s="2"/>
      <c r="Q9" s="2"/>
      <c r="R9" s="2"/>
      <c r="S9" s="2"/>
      <c r="T9" s="2"/>
      <c r="U9" s="2"/>
      <c r="V9" s="2"/>
      <c r="W9" s="2"/>
      <c r="X9" s="2"/>
      <c r="Y9" s="2"/>
      <c r="Z9" s="2"/>
      <c r="AA9" s="2"/>
    </row>
    <row r="10" spans="1:27" s="11" customFormat="1" ht="15" customHeight="1" x14ac:dyDescent="0.2">
      <c r="A10" s="2"/>
      <c r="B10" s="329"/>
      <c r="C10" s="12" t="s">
        <v>13</v>
      </c>
      <c r="D10" s="332" t="s">
        <v>14</v>
      </c>
      <c r="E10" s="332"/>
      <c r="F10" s="332"/>
      <c r="G10" s="332"/>
      <c r="H10" s="332"/>
      <c r="I10" s="332"/>
      <c r="J10" s="332"/>
      <c r="K10" s="332"/>
      <c r="L10" s="332"/>
      <c r="M10" s="333"/>
      <c r="N10" s="2"/>
      <c r="O10" s="2"/>
      <c r="P10" s="2"/>
      <c r="Q10" s="2"/>
      <c r="R10" s="2"/>
      <c r="S10" s="2"/>
      <c r="T10" s="2"/>
      <c r="U10" s="2"/>
      <c r="V10" s="2"/>
      <c r="W10" s="2"/>
      <c r="X10" s="2"/>
      <c r="Y10" s="2"/>
      <c r="Z10" s="2"/>
      <c r="AA10" s="2"/>
    </row>
    <row r="11" spans="1:27" s="11" customFormat="1" ht="15" customHeight="1" x14ac:dyDescent="0.2">
      <c r="A11" s="2"/>
      <c r="B11" s="329"/>
      <c r="C11" s="12" t="s">
        <v>15</v>
      </c>
      <c r="D11" s="332" t="s">
        <v>16</v>
      </c>
      <c r="E11" s="332"/>
      <c r="F11" s="332"/>
      <c r="G11" s="332"/>
      <c r="H11" s="332"/>
      <c r="I11" s="332"/>
      <c r="J11" s="332"/>
      <c r="K11" s="332"/>
      <c r="L11" s="332"/>
      <c r="M11" s="333"/>
      <c r="N11" s="2"/>
      <c r="O11" s="2"/>
      <c r="P11" s="2"/>
      <c r="Q11" s="2"/>
      <c r="R11" s="2"/>
      <c r="S11" s="2"/>
      <c r="T11" s="2"/>
      <c r="U11" s="2"/>
      <c r="V11" s="2"/>
      <c r="W11" s="2"/>
      <c r="X11" s="2"/>
      <c r="Y11" s="2"/>
      <c r="Z11" s="2"/>
      <c r="AA11" s="2"/>
    </row>
    <row r="12" spans="1:27" s="11" customFormat="1" ht="15" customHeight="1" x14ac:dyDescent="0.2">
      <c r="A12" s="2"/>
      <c r="B12" s="329"/>
      <c r="C12" s="12" t="s">
        <v>17</v>
      </c>
      <c r="D12" s="332" t="s">
        <v>18</v>
      </c>
      <c r="E12" s="332"/>
      <c r="F12" s="332"/>
      <c r="G12" s="332"/>
      <c r="H12" s="332"/>
      <c r="I12" s="332"/>
      <c r="J12" s="332"/>
      <c r="K12" s="332"/>
      <c r="L12" s="332"/>
      <c r="M12" s="333"/>
      <c r="N12" s="2"/>
      <c r="O12" s="2"/>
      <c r="P12" s="2"/>
      <c r="Q12" s="2"/>
      <c r="R12" s="2"/>
      <c r="S12" s="2"/>
      <c r="T12" s="2"/>
      <c r="U12" s="2"/>
      <c r="V12" s="2"/>
      <c r="W12" s="2"/>
      <c r="X12" s="2"/>
      <c r="Y12" s="2"/>
      <c r="Z12" s="2"/>
      <c r="AA12" s="2"/>
    </row>
    <row r="13" spans="1:27" ht="15" customHeight="1" x14ac:dyDescent="0.2">
      <c r="B13" s="343" t="s">
        <v>19</v>
      </c>
      <c r="C13" s="13" t="s">
        <v>20</v>
      </c>
      <c r="D13" s="345" t="s">
        <v>9</v>
      </c>
      <c r="E13" s="345"/>
      <c r="F13" s="345"/>
      <c r="G13" s="345"/>
      <c r="H13" s="345"/>
      <c r="I13" s="345"/>
      <c r="J13" s="345"/>
      <c r="K13" s="345"/>
      <c r="L13" s="345"/>
      <c r="M13" s="346"/>
      <c r="N13" s="2"/>
      <c r="O13" s="2"/>
    </row>
    <row r="14" spans="1:27" ht="15" customHeight="1" x14ac:dyDescent="0.2">
      <c r="B14" s="343"/>
      <c r="C14" s="13" t="s">
        <v>20</v>
      </c>
      <c r="D14" s="345" t="s">
        <v>21</v>
      </c>
      <c r="E14" s="345"/>
      <c r="F14" s="345"/>
      <c r="G14" s="345"/>
      <c r="H14" s="345"/>
      <c r="I14" s="345"/>
      <c r="J14" s="345"/>
      <c r="K14" s="345"/>
      <c r="L14" s="345"/>
      <c r="M14" s="346"/>
      <c r="N14" s="2"/>
      <c r="O14" s="2"/>
    </row>
    <row r="15" spans="1:27" ht="15" customHeight="1" x14ac:dyDescent="0.2">
      <c r="B15" s="343"/>
      <c r="C15" s="13" t="s">
        <v>20</v>
      </c>
      <c r="D15" s="345" t="s">
        <v>21</v>
      </c>
      <c r="E15" s="345"/>
      <c r="F15" s="345"/>
      <c r="G15" s="345"/>
      <c r="H15" s="345"/>
      <c r="I15" s="345"/>
      <c r="J15" s="345"/>
      <c r="K15" s="345"/>
      <c r="L15" s="345"/>
      <c r="M15" s="346"/>
      <c r="N15" s="2"/>
      <c r="O15" s="2"/>
    </row>
    <row r="16" spans="1:27" ht="15" customHeight="1" x14ac:dyDescent="0.2">
      <c r="B16" s="343"/>
      <c r="C16" s="13" t="s">
        <v>20</v>
      </c>
      <c r="D16" s="345" t="s">
        <v>21</v>
      </c>
      <c r="E16" s="345"/>
      <c r="F16" s="345"/>
      <c r="G16" s="345"/>
      <c r="H16" s="345"/>
      <c r="I16" s="345"/>
      <c r="J16" s="345"/>
      <c r="K16" s="345"/>
      <c r="L16" s="345"/>
      <c r="M16" s="346"/>
      <c r="N16" s="2"/>
      <c r="O16" s="2"/>
    </row>
    <row r="17" spans="2:16" ht="15" customHeight="1" x14ac:dyDescent="0.2">
      <c r="B17" s="343"/>
      <c r="C17" s="14" t="s">
        <v>22</v>
      </c>
      <c r="D17" s="347" t="s">
        <v>23</v>
      </c>
      <c r="E17" s="347"/>
      <c r="F17" s="347"/>
      <c r="G17" s="347"/>
      <c r="H17" s="347"/>
      <c r="I17" s="347"/>
      <c r="J17" s="347"/>
      <c r="K17" s="347"/>
      <c r="L17" s="347"/>
      <c r="M17" s="348"/>
      <c r="N17" s="2"/>
      <c r="O17" s="2"/>
    </row>
    <row r="18" spans="2:16" ht="15" customHeight="1" x14ac:dyDescent="0.2">
      <c r="B18" s="343"/>
      <c r="C18" s="15" t="s">
        <v>24</v>
      </c>
      <c r="D18" s="347" t="s">
        <v>24</v>
      </c>
      <c r="E18" s="347"/>
      <c r="F18" s="347"/>
      <c r="G18" s="347"/>
      <c r="H18" s="347"/>
      <c r="I18" s="347"/>
      <c r="J18" s="347"/>
      <c r="K18" s="347"/>
      <c r="L18" s="347"/>
      <c r="M18" s="348"/>
      <c r="N18" s="2"/>
      <c r="O18" s="2"/>
    </row>
    <row r="19" spans="2:16" ht="15" customHeight="1" x14ac:dyDescent="0.2">
      <c r="B19" s="343"/>
      <c r="C19" s="15" t="s">
        <v>724</v>
      </c>
      <c r="D19" s="347" t="s">
        <v>725</v>
      </c>
      <c r="E19" s="347"/>
      <c r="F19" s="347"/>
      <c r="G19" s="347"/>
      <c r="H19" s="347"/>
      <c r="I19" s="347"/>
      <c r="J19" s="347"/>
      <c r="K19" s="347"/>
      <c r="L19" s="347"/>
      <c r="M19" s="317"/>
      <c r="N19" s="2"/>
      <c r="O19" s="2"/>
    </row>
    <row r="20" spans="2:16" ht="15" customHeight="1" thickBot="1" x14ac:dyDescent="0.25">
      <c r="B20" s="344"/>
      <c r="C20" s="16"/>
      <c r="D20" s="349"/>
      <c r="E20" s="349"/>
      <c r="F20" s="349"/>
      <c r="G20" s="349"/>
      <c r="H20" s="349"/>
      <c r="I20" s="349"/>
      <c r="J20" s="349"/>
      <c r="K20" s="349"/>
      <c r="L20" s="349"/>
      <c r="M20" s="350"/>
      <c r="N20" s="2"/>
      <c r="O20" s="2"/>
    </row>
    <row r="21" spans="2:16" x14ac:dyDescent="0.2">
      <c r="B21" s="9"/>
      <c r="C21" s="9"/>
      <c r="D21" s="9"/>
      <c r="E21" s="9"/>
      <c r="F21" s="9"/>
      <c r="G21" s="9"/>
      <c r="H21" s="9"/>
      <c r="I21" s="9"/>
      <c r="J21" s="9"/>
      <c r="K21" s="9"/>
      <c r="L21" s="9"/>
      <c r="M21" s="9"/>
      <c r="N21" s="2"/>
      <c r="O21" s="2"/>
    </row>
    <row r="22" spans="2:16" x14ac:dyDescent="0.2">
      <c r="B22" s="9" t="s">
        <v>25</v>
      </c>
      <c r="C22" s="9"/>
      <c r="D22" s="9"/>
      <c r="E22" s="9"/>
      <c r="F22" s="9"/>
      <c r="G22" s="9"/>
      <c r="H22" s="9"/>
      <c r="I22" s="9"/>
      <c r="J22" s="9"/>
      <c r="K22" s="9"/>
      <c r="L22" s="9"/>
      <c r="M22" s="9"/>
      <c r="N22" s="2"/>
      <c r="O22" s="2"/>
    </row>
    <row r="23" spans="2:16" x14ac:dyDescent="0.2">
      <c r="B23" s="9"/>
      <c r="C23" s="17">
        <v>41663</v>
      </c>
      <c r="D23" s="9"/>
      <c r="E23" s="9"/>
      <c r="F23" s="9"/>
      <c r="G23" s="9"/>
      <c r="H23" s="9"/>
      <c r="I23" s="9"/>
      <c r="J23" s="9"/>
      <c r="K23" s="9"/>
      <c r="L23" s="9"/>
      <c r="M23" s="9"/>
      <c r="N23" s="2"/>
      <c r="O23" s="2"/>
    </row>
    <row r="24" spans="2:16" x14ac:dyDescent="0.2">
      <c r="B24" s="9" t="s">
        <v>26</v>
      </c>
      <c r="C24" s="9"/>
      <c r="D24" s="9"/>
      <c r="E24" s="9"/>
      <c r="F24" s="9"/>
      <c r="G24" s="9"/>
      <c r="H24" s="9"/>
      <c r="I24" s="9"/>
      <c r="J24" s="9"/>
      <c r="K24" s="9"/>
      <c r="L24" s="9"/>
      <c r="M24" s="9"/>
      <c r="N24" s="2"/>
      <c r="O24" s="2"/>
    </row>
    <row r="25" spans="2:16" x14ac:dyDescent="0.2">
      <c r="B25" s="9"/>
      <c r="C25" s="18" t="s">
        <v>27</v>
      </c>
      <c r="D25" s="9"/>
      <c r="E25" s="9"/>
      <c r="F25" s="9"/>
      <c r="G25" s="9"/>
      <c r="H25" s="9"/>
      <c r="I25" s="9"/>
      <c r="J25" s="9"/>
      <c r="K25" s="9"/>
      <c r="L25" s="9"/>
      <c r="M25" s="9"/>
      <c r="N25" s="2"/>
      <c r="O25" s="2"/>
    </row>
    <row r="26" spans="2:16" x14ac:dyDescent="0.2">
      <c r="B26" s="9" t="s">
        <v>28</v>
      </c>
      <c r="C26" s="18"/>
      <c r="D26" s="9"/>
      <c r="E26" s="9"/>
      <c r="F26" s="9"/>
      <c r="G26" s="9"/>
      <c r="H26" s="9"/>
      <c r="I26" s="9"/>
      <c r="J26" s="9"/>
      <c r="K26" s="9"/>
      <c r="L26" s="9"/>
      <c r="M26" s="9"/>
      <c r="N26" s="2"/>
      <c r="O26" s="2"/>
    </row>
    <row r="27" spans="2:16" x14ac:dyDescent="0.2">
      <c r="B27" s="9"/>
      <c r="C27" s="18" t="s">
        <v>29</v>
      </c>
      <c r="D27" s="9"/>
      <c r="E27" s="9"/>
      <c r="F27" s="9"/>
      <c r="G27" s="9"/>
      <c r="H27" s="9"/>
      <c r="I27" s="9"/>
      <c r="J27" s="9"/>
      <c r="K27" s="9"/>
      <c r="L27" s="9"/>
      <c r="M27" s="9"/>
      <c r="N27" s="2"/>
      <c r="O27" s="2"/>
    </row>
    <row r="28" spans="2:16" x14ac:dyDescent="0.2">
      <c r="B28" s="9" t="s">
        <v>30</v>
      </c>
      <c r="C28" s="9"/>
      <c r="D28" s="9"/>
      <c r="E28" s="9"/>
      <c r="F28" s="9"/>
      <c r="G28" s="9"/>
      <c r="H28" s="9"/>
      <c r="I28" s="9"/>
      <c r="J28" s="9"/>
      <c r="K28" s="9"/>
      <c r="L28" s="9"/>
      <c r="M28" s="9"/>
      <c r="N28" s="2"/>
      <c r="O28" s="2"/>
    </row>
    <row r="29" spans="2:16" ht="38.25" customHeight="1" x14ac:dyDescent="0.2">
      <c r="B29" s="9"/>
      <c r="C29" s="341" t="str">
        <f>"This document should be cited as: NETL (2014). NETL Life Cycle Inventory Data – Unit Process: "&amp;D3&amp;". U.S. Department of Energy, National Energy Technology Laboratory. Last Updated: January 2014 (version 01). www.netl.doe.gov/LCA (http://www.netl.doe.gov/LCA)"</f>
        <v>This document should be cited as: NETL (2014). NETL Life Cycle Inventory Data – Unit Process: Rare earths solvent extraction. U.S. Department of Energy, National Energy Technology Laboratory. Last Updated: January 2014 (version 01). www.netl.doe.gov/LCA (http://www.netl.doe.gov/LCA)</v>
      </c>
      <c r="D29" s="341"/>
      <c r="E29" s="341"/>
      <c r="F29" s="341"/>
      <c r="G29" s="341"/>
      <c r="H29" s="341"/>
      <c r="I29" s="341"/>
      <c r="J29" s="341"/>
      <c r="K29" s="341"/>
      <c r="L29" s="341"/>
      <c r="M29" s="341"/>
      <c r="N29" s="2"/>
      <c r="O29" s="2"/>
    </row>
    <row r="30" spans="2:16" x14ac:dyDescent="0.2">
      <c r="B30" s="9" t="s">
        <v>31</v>
      </c>
      <c r="C30" s="9"/>
      <c r="D30" s="9"/>
      <c r="E30" s="9"/>
      <c r="F30" s="9"/>
      <c r="G30" s="18"/>
      <c r="H30" s="18"/>
      <c r="I30" s="18"/>
      <c r="J30" s="18"/>
      <c r="K30" s="18"/>
      <c r="L30" s="18"/>
      <c r="M30" s="18"/>
      <c r="N30" s="2"/>
      <c r="O30" s="2"/>
    </row>
    <row r="31" spans="2:16" x14ac:dyDescent="0.2">
      <c r="B31" s="18"/>
      <c r="C31" s="18" t="s">
        <v>32</v>
      </c>
      <c r="D31" s="18"/>
      <c r="E31" s="19" t="s">
        <v>33</v>
      </c>
      <c r="F31" s="20"/>
      <c r="G31" s="18" t="s">
        <v>34</v>
      </c>
      <c r="H31" s="18"/>
      <c r="I31" s="18"/>
      <c r="J31" s="18"/>
      <c r="K31" s="18"/>
      <c r="L31" s="18"/>
      <c r="M31" s="18"/>
      <c r="N31" s="2"/>
      <c r="O31" s="2"/>
      <c r="P31" s="18"/>
    </row>
    <row r="32" spans="2:16" x14ac:dyDescent="0.2">
      <c r="B32" s="18"/>
      <c r="C32" s="18" t="s">
        <v>35</v>
      </c>
      <c r="D32" s="18"/>
      <c r="E32" s="18"/>
      <c r="F32" s="18"/>
      <c r="G32" s="18"/>
      <c r="H32" s="18"/>
      <c r="I32" s="18"/>
      <c r="J32" s="18"/>
      <c r="K32" s="18"/>
      <c r="L32" s="18"/>
      <c r="M32" s="18"/>
      <c r="N32" s="2"/>
      <c r="O32" s="2"/>
      <c r="P32" s="18"/>
    </row>
    <row r="33" spans="2:16" x14ac:dyDescent="0.2">
      <c r="B33" s="18"/>
      <c r="C33" s="18" t="s">
        <v>36</v>
      </c>
      <c r="D33" s="18"/>
      <c r="E33" s="18"/>
      <c r="F33" s="18"/>
      <c r="G33" s="18"/>
      <c r="H33" s="18"/>
      <c r="I33" s="18"/>
      <c r="J33" s="18"/>
      <c r="K33" s="18"/>
      <c r="L33" s="18"/>
      <c r="M33" s="18"/>
      <c r="N33" s="18"/>
      <c r="O33" s="18"/>
      <c r="P33" s="18"/>
    </row>
    <row r="34" spans="2:16" x14ac:dyDescent="0.2">
      <c r="B34" s="18"/>
      <c r="C34" s="342" t="s">
        <v>37</v>
      </c>
      <c r="D34" s="342"/>
      <c r="E34" s="342"/>
      <c r="F34" s="342"/>
      <c r="G34" s="342"/>
      <c r="H34" s="342"/>
      <c r="I34" s="342"/>
      <c r="J34" s="342"/>
      <c r="K34" s="342"/>
      <c r="L34" s="342"/>
      <c r="M34" s="342"/>
      <c r="N34" s="18"/>
      <c r="O34" s="18"/>
      <c r="P34" s="18"/>
    </row>
    <row r="35" spans="2:16" x14ac:dyDescent="0.2">
      <c r="B35" s="18"/>
      <c r="C35" s="18"/>
      <c r="D35" s="18"/>
      <c r="E35" s="18"/>
      <c r="F35" s="18"/>
      <c r="G35" s="18"/>
      <c r="H35" s="18"/>
      <c r="I35" s="18"/>
      <c r="J35" s="18"/>
      <c r="K35" s="18"/>
      <c r="L35" s="18"/>
      <c r="M35" s="18"/>
      <c r="N35" s="18"/>
      <c r="O35" s="18"/>
    </row>
    <row r="36" spans="2:16" x14ac:dyDescent="0.2">
      <c r="B36" s="9" t="s">
        <v>38</v>
      </c>
      <c r="C36" s="18"/>
      <c r="D36" s="18"/>
      <c r="E36" s="18"/>
      <c r="F36" s="18"/>
      <c r="G36" s="18"/>
      <c r="H36" s="18"/>
      <c r="I36" s="18"/>
      <c r="J36" s="18"/>
      <c r="K36" s="18"/>
      <c r="L36" s="18"/>
      <c r="M36" s="18"/>
      <c r="N36" s="18"/>
      <c r="O36" s="18"/>
    </row>
    <row r="37" spans="2:16" x14ac:dyDescent="0.2">
      <c r="B37" s="18"/>
      <c r="C37" s="18"/>
      <c r="D37" s="18"/>
      <c r="E37" s="18"/>
      <c r="F37" s="18"/>
      <c r="G37" s="18"/>
      <c r="H37" s="18"/>
      <c r="I37" s="18"/>
      <c r="J37" s="18"/>
      <c r="K37" s="18"/>
      <c r="L37" s="18"/>
      <c r="M37" s="18"/>
      <c r="N37" s="18"/>
      <c r="O37" s="18"/>
    </row>
    <row r="38" spans="2:16" x14ac:dyDescent="0.2">
      <c r="B38" s="18"/>
      <c r="C38" s="18"/>
      <c r="D38" s="18"/>
      <c r="E38" s="18"/>
      <c r="F38" s="18"/>
      <c r="G38" s="18"/>
      <c r="H38" s="18"/>
      <c r="I38" s="18"/>
      <c r="J38" s="18"/>
      <c r="K38" s="18"/>
      <c r="L38" s="18"/>
      <c r="M38" s="18"/>
      <c r="N38" s="18"/>
      <c r="O38" s="18"/>
    </row>
    <row r="39" spans="2:16" x14ac:dyDescent="0.2">
      <c r="B39" s="18"/>
      <c r="C39" s="18"/>
      <c r="D39" s="18"/>
      <c r="E39" s="18"/>
      <c r="F39" s="18"/>
      <c r="G39" s="18"/>
      <c r="H39" s="18"/>
      <c r="I39" s="18"/>
      <c r="J39" s="18"/>
      <c r="K39" s="18"/>
      <c r="L39" s="18"/>
      <c r="M39" s="18"/>
      <c r="N39" s="18"/>
      <c r="O39" s="18"/>
    </row>
    <row r="40" spans="2:16" x14ac:dyDescent="0.2">
      <c r="B40" s="18"/>
      <c r="C40" s="18"/>
      <c r="D40" s="18"/>
      <c r="E40" s="18"/>
      <c r="F40" s="18"/>
      <c r="G40" s="18"/>
      <c r="H40" s="18"/>
      <c r="I40" s="18"/>
      <c r="J40" s="18"/>
      <c r="K40" s="18"/>
      <c r="L40" s="18"/>
      <c r="M40" s="18"/>
      <c r="N40" s="18"/>
      <c r="O40" s="18"/>
    </row>
    <row r="41" spans="2:16" x14ac:dyDescent="0.2">
      <c r="B41" s="18"/>
      <c r="C41" s="18"/>
      <c r="D41" s="18"/>
      <c r="E41" s="18"/>
      <c r="F41" s="18"/>
      <c r="G41" s="18"/>
      <c r="H41" s="18"/>
      <c r="I41" s="18"/>
      <c r="J41" s="18"/>
      <c r="K41" s="18"/>
      <c r="L41" s="18"/>
      <c r="M41" s="18"/>
      <c r="N41" s="18"/>
      <c r="O41" s="18"/>
    </row>
    <row r="42" spans="2:16" x14ac:dyDescent="0.2">
      <c r="B42" s="18"/>
      <c r="C42" s="18"/>
      <c r="D42" s="18"/>
      <c r="E42" s="18"/>
      <c r="F42" s="18"/>
      <c r="G42" s="18"/>
      <c r="H42" s="18"/>
      <c r="I42" s="18"/>
      <c r="J42" s="18"/>
      <c r="K42" s="18"/>
      <c r="L42" s="18"/>
      <c r="M42" s="18"/>
      <c r="N42" s="18"/>
      <c r="O42" s="18"/>
    </row>
    <row r="43" spans="2:16" x14ac:dyDescent="0.2">
      <c r="B43" s="18"/>
      <c r="C43" s="18"/>
      <c r="D43" s="18"/>
      <c r="E43" s="18"/>
      <c r="F43" s="18"/>
      <c r="G43" s="18"/>
      <c r="H43" s="18"/>
      <c r="I43" s="18"/>
      <c r="J43" s="18"/>
      <c r="K43" s="18"/>
      <c r="L43" s="18"/>
      <c r="M43" s="18"/>
      <c r="N43" s="18"/>
      <c r="O43" s="18"/>
    </row>
    <row r="44" spans="2:16" x14ac:dyDescent="0.2">
      <c r="B44" s="18"/>
      <c r="C44" s="18"/>
      <c r="D44" s="18"/>
      <c r="E44" s="18"/>
      <c r="F44" s="18"/>
      <c r="G44" s="18"/>
      <c r="H44" s="18"/>
      <c r="I44" s="18"/>
      <c r="J44" s="18"/>
      <c r="K44" s="18"/>
      <c r="L44" s="18"/>
      <c r="M44" s="18"/>
      <c r="N44" s="18"/>
      <c r="O44" s="18"/>
    </row>
    <row r="45" spans="2:16" x14ac:dyDescent="0.2">
      <c r="B45" s="18"/>
      <c r="C45" s="18"/>
      <c r="D45" s="18"/>
      <c r="E45" s="18"/>
      <c r="F45" s="18"/>
      <c r="G45" s="18"/>
      <c r="H45" s="18"/>
      <c r="I45" s="18"/>
      <c r="J45" s="18"/>
      <c r="K45" s="18"/>
      <c r="L45" s="18"/>
      <c r="M45" s="18"/>
      <c r="N45" s="18"/>
      <c r="O45" s="18"/>
    </row>
    <row r="46" spans="2:16" x14ac:dyDescent="0.2">
      <c r="B46" s="18"/>
      <c r="C46" s="18"/>
      <c r="D46" s="18"/>
      <c r="E46" s="18"/>
      <c r="F46" s="18"/>
      <c r="G46" s="18"/>
      <c r="H46" s="18"/>
      <c r="I46" s="18"/>
      <c r="J46" s="18"/>
      <c r="K46" s="18"/>
      <c r="L46" s="18"/>
      <c r="M46" s="18"/>
      <c r="N46" s="18"/>
      <c r="O46" s="18"/>
    </row>
    <row r="47" spans="2:16" x14ac:dyDescent="0.2">
      <c r="B47" s="18"/>
      <c r="C47" s="18"/>
      <c r="D47" s="18"/>
      <c r="E47" s="18"/>
      <c r="F47" s="18"/>
      <c r="G47" s="18"/>
      <c r="H47" s="18"/>
      <c r="I47" s="18"/>
      <c r="J47" s="18"/>
      <c r="K47" s="18"/>
      <c r="L47" s="18"/>
      <c r="M47" s="18"/>
      <c r="N47" s="18"/>
      <c r="O47" s="18"/>
    </row>
    <row r="48" spans="2:16" x14ac:dyDescent="0.2">
      <c r="B48" s="18"/>
      <c r="C48" s="18"/>
      <c r="D48" s="18"/>
      <c r="E48" s="18"/>
      <c r="F48" s="18"/>
      <c r="G48" s="18"/>
      <c r="H48" s="18"/>
      <c r="I48" s="18"/>
      <c r="J48" s="18"/>
      <c r="K48" s="18"/>
      <c r="L48" s="18"/>
      <c r="M48" s="18"/>
      <c r="N48" s="18"/>
      <c r="O48" s="18"/>
    </row>
    <row r="49" spans="2:15" x14ac:dyDescent="0.2">
      <c r="B49" s="18"/>
      <c r="C49" s="18"/>
      <c r="D49" s="18"/>
      <c r="E49" s="18"/>
      <c r="F49" s="18"/>
      <c r="G49" s="18"/>
      <c r="H49" s="18"/>
      <c r="I49" s="18"/>
      <c r="J49" s="18"/>
      <c r="K49" s="18"/>
      <c r="L49" s="18"/>
      <c r="M49" s="18"/>
      <c r="N49" s="18"/>
      <c r="O49" s="18"/>
    </row>
    <row r="50" spans="2:15" x14ac:dyDescent="0.2">
      <c r="B50" s="18"/>
      <c r="C50" s="18"/>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9" t="s">
        <v>39</v>
      </c>
      <c r="C52" s="18"/>
      <c r="D52" s="18"/>
      <c r="E52" s="18"/>
      <c r="F52" s="18"/>
      <c r="G52" s="18"/>
      <c r="H52" s="18"/>
      <c r="I52" s="18"/>
      <c r="J52" s="18"/>
      <c r="K52" s="18"/>
      <c r="L52" s="18"/>
      <c r="M52" s="18"/>
      <c r="N52" s="18"/>
      <c r="O52" s="18"/>
    </row>
    <row r="53" spans="2:15" x14ac:dyDescent="0.2">
      <c r="B53" s="18"/>
      <c r="C53" s="21" t="s">
        <v>40</v>
      </c>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row r="507" spans="2:15" x14ac:dyDescent="0.2">
      <c r="B507" s="18"/>
      <c r="C507" s="18"/>
      <c r="D507" s="18"/>
      <c r="E507" s="18"/>
      <c r="F507" s="18"/>
      <c r="G507" s="18"/>
      <c r="H507" s="18"/>
      <c r="I507" s="18"/>
      <c r="J507" s="18"/>
      <c r="K507" s="18"/>
      <c r="L507" s="18"/>
      <c r="M507" s="18"/>
      <c r="N507" s="18"/>
      <c r="O507" s="18"/>
    </row>
    <row r="508" spans="2:15" x14ac:dyDescent="0.2">
      <c r="B508" s="18"/>
      <c r="C508" s="18"/>
      <c r="D508" s="18"/>
      <c r="E508" s="18"/>
      <c r="F508" s="18"/>
      <c r="G508" s="18"/>
      <c r="H508" s="18"/>
      <c r="I508" s="18"/>
      <c r="J508" s="18"/>
      <c r="K508" s="18"/>
      <c r="L508" s="18"/>
      <c r="M508" s="18"/>
      <c r="N508" s="18"/>
      <c r="O508" s="18"/>
    </row>
    <row r="509" spans="2:15" x14ac:dyDescent="0.2">
      <c r="B509" s="18"/>
      <c r="C509" s="18"/>
      <c r="D509" s="18"/>
      <c r="E509" s="18"/>
      <c r="F509" s="18"/>
      <c r="G509" s="18"/>
      <c r="H509" s="18"/>
      <c r="I509" s="18"/>
      <c r="J509" s="18"/>
      <c r="K509" s="18"/>
      <c r="L509" s="18"/>
      <c r="M509" s="18"/>
      <c r="N509" s="18"/>
      <c r="O509" s="18"/>
    </row>
  </sheetData>
  <mergeCells count="21">
    <mergeCell ref="C29:M29"/>
    <mergeCell ref="C34:M34"/>
    <mergeCell ref="B13:B20"/>
    <mergeCell ref="D13:M13"/>
    <mergeCell ref="D14:M14"/>
    <mergeCell ref="D15:M15"/>
    <mergeCell ref="D16:M16"/>
    <mergeCell ref="D17:M17"/>
    <mergeCell ref="D18:M18"/>
    <mergeCell ref="D20:M20"/>
    <mergeCell ref="D19:L19"/>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heetViews>
  <sheetFormatPr defaultColWidth="9.140625" defaultRowHeight="12.75" x14ac:dyDescent="0.2"/>
  <cols>
    <col min="1" max="3" width="9.140625" style="243"/>
    <col min="4" max="4" width="13.42578125" style="243" bestFit="1" customWidth="1"/>
    <col min="5" max="5" width="16.42578125" style="243" bestFit="1" customWidth="1"/>
    <col min="6" max="6" width="23.42578125" style="243" customWidth="1"/>
    <col min="7" max="7" width="11" style="243" bestFit="1" customWidth="1"/>
    <col min="8" max="259" width="9.140625" style="243"/>
    <col min="260" max="260" width="13.42578125" style="243" bestFit="1" customWidth="1"/>
    <col min="261" max="261" width="16.42578125" style="243" bestFit="1" customWidth="1"/>
    <col min="262" max="262" width="23.42578125" style="243" customWidth="1"/>
    <col min="263" max="263" width="11" style="243" bestFit="1" customWidth="1"/>
    <col min="264" max="515" width="9.140625" style="243"/>
    <col min="516" max="516" width="13.42578125" style="243" bestFit="1" customWidth="1"/>
    <col min="517" max="517" width="16.42578125" style="243" bestFit="1" customWidth="1"/>
    <col min="518" max="518" width="23.42578125" style="243" customWidth="1"/>
    <col min="519" max="519" width="11" style="243" bestFit="1" customWidth="1"/>
    <col min="520" max="771" width="9.140625" style="243"/>
    <col min="772" max="772" width="13.42578125" style="243" bestFit="1" customWidth="1"/>
    <col min="773" max="773" width="16.42578125" style="243" bestFit="1" customWidth="1"/>
    <col min="774" max="774" width="23.42578125" style="243" customWidth="1"/>
    <col min="775" max="775" width="11" style="243" bestFit="1" customWidth="1"/>
    <col min="776" max="1027" width="9.140625" style="243"/>
    <col min="1028" max="1028" width="13.42578125" style="243" bestFit="1" customWidth="1"/>
    <col min="1029" max="1029" width="16.42578125" style="243" bestFit="1" customWidth="1"/>
    <col min="1030" max="1030" width="23.42578125" style="243" customWidth="1"/>
    <col min="1031" max="1031" width="11" style="243" bestFit="1" customWidth="1"/>
    <col min="1032" max="1283" width="9.140625" style="243"/>
    <col min="1284" max="1284" width="13.42578125" style="243" bestFit="1" customWidth="1"/>
    <col min="1285" max="1285" width="16.42578125" style="243" bestFit="1" customWidth="1"/>
    <col min="1286" max="1286" width="23.42578125" style="243" customWidth="1"/>
    <col min="1287" max="1287" width="11" style="243" bestFit="1" customWidth="1"/>
    <col min="1288" max="1539" width="9.140625" style="243"/>
    <col min="1540" max="1540" width="13.42578125" style="243" bestFit="1" customWidth="1"/>
    <col min="1541" max="1541" width="16.42578125" style="243" bestFit="1" customWidth="1"/>
    <col min="1542" max="1542" width="23.42578125" style="243" customWidth="1"/>
    <col min="1543" max="1543" width="11" style="243" bestFit="1" customWidth="1"/>
    <col min="1544" max="1795" width="9.140625" style="243"/>
    <col min="1796" max="1796" width="13.42578125" style="243" bestFit="1" customWidth="1"/>
    <col min="1797" max="1797" width="16.42578125" style="243" bestFit="1" customWidth="1"/>
    <col min="1798" max="1798" width="23.42578125" style="243" customWidth="1"/>
    <col min="1799" max="1799" width="11" style="243" bestFit="1" customWidth="1"/>
    <col min="1800" max="2051" width="9.140625" style="243"/>
    <col min="2052" max="2052" width="13.42578125" style="243" bestFit="1" customWidth="1"/>
    <col min="2053" max="2053" width="16.42578125" style="243" bestFit="1" customWidth="1"/>
    <col min="2054" max="2054" width="23.42578125" style="243" customWidth="1"/>
    <col min="2055" max="2055" width="11" style="243" bestFit="1" customWidth="1"/>
    <col min="2056" max="2307" width="9.140625" style="243"/>
    <col min="2308" max="2308" width="13.42578125" style="243" bestFit="1" customWidth="1"/>
    <col min="2309" max="2309" width="16.42578125" style="243" bestFit="1" customWidth="1"/>
    <col min="2310" max="2310" width="23.42578125" style="243" customWidth="1"/>
    <col min="2311" max="2311" width="11" style="243" bestFit="1" customWidth="1"/>
    <col min="2312" max="2563" width="9.140625" style="243"/>
    <col min="2564" max="2564" width="13.42578125" style="243" bestFit="1" customWidth="1"/>
    <col min="2565" max="2565" width="16.42578125" style="243" bestFit="1" customWidth="1"/>
    <col min="2566" max="2566" width="23.42578125" style="243" customWidth="1"/>
    <col min="2567" max="2567" width="11" style="243" bestFit="1" customWidth="1"/>
    <col min="2568" max="2819" width="9.140625" style="243"/>
    <col min="2820" max="2820" width="13.42578125" style="243" bestFit="1" customWidth="1"/>
    <col min="2821" max="2821" width="16.42578125" style="243" bestFit="1" customWidth="1"/>
    <col min="2822" max="2822" width="23.42578125" style="243" customWidth="1"/>
    <col min="2823" max="2823" width="11" style="243" bestFit="1" customWidth="1"/>
    <col min="2824" max="3075" width="9.140625" style="243"/>
    <col min="3076" max="3076" width="13.42578125" style="243" bestFit="1" customWidth="1"/>
    <col min="3077" max="3077" width="16.42578125" style="243" bestFit="1" customWidth="1"/>
    <col min="3078" max="3078" width="23.42578125" style="243" customWidth="1"/>
    <col min="3079" max="3079" width="11" style="243" bestFit="1" customWidth="1"/>
    <col min="3080" max="3331" width="9.140625" style="243"/>
    <col min="3332" max="3332" width="13.42578125" style="243" bestFit="1" customWidth="1"/>
    <col min="3333" max="3333" width="16.42578125" style="243" bestFit="1" customWidth="1"/>
    <col min="3334" max="3334" width="23.42578125" style="243" customWidth="1"/>
    <col min="3335" max="3335" width="11" style="243" bestFit="1" customWidth="1"/>
    <col min="3336" max="3587" width="9.140625" style="243"/>
    <col min="3588" max="3588" width="13.42578125" style="243" bestFit="1" customWidth="1"/>
    <col min="3589" max="3589" width="16.42578125" style="243" bestFit="1" customWidth="1"/>
    <col min="3590" max="3590" width="23.42578125" style="243" customWidth="1"/>
    <col min="3591" max="3591" width="11" style="243" bestFit="1" customWidth="1"/>
    <col min="3592" max="3843" width="9.140625" style="243"/>
    <col min="3844" max="3844" width="13.42578125" style="243" bestFit="1" customWidth="1"/>
    <col min="3845" max="3845" width="16.42578125" style="243" bestFit="1" customWidth="1"/>
    <col min="3846" max="3846" width="23.42578125" style="243" customWidth="1"/>
    <col min="3847" max="3847" width="11" style="243" bestFit="1" customWidth="1"/>
    <col min="3848" max="4099" width="9.140625" style="243"/>
    <col min="4100" max="4100" width="13.42578125" style="243" bestFit="1" customWidth="1"/>
    <col min="4101" max="4101" width="16.42578125" style="243" bestFit="1" customWidth="1"/>
    <col min="4102" max="4102" width="23.42578125" style="243" customWidth="1"/>
    <col min="4103" max="4103" width="11" style="243" bestFit="1" customWidth="1"/>
    <col min="4104" max="4355" width="9.140625" style="243"/>
    <col min="4356" max="4356" width="13.42578125" style="243" bestFit="1" customWidth="1"/>
    <col min="4357" max="4357" width="16.42578125" style="243" bestFit="1" customWidth="1"/>
    <col min="4358" max="4358" width="23.42578125" style="243" customWidth="1"/>
    <col min="4359" max="4359" width="11" style="243" bestFit="1" customWidth="1"/>
    <col min="4360" max="4611" width="9.140625" style="243"/>
    <col min="4612" max="4612" width="13.42578125" style="243" bestFit="1" customWidth="1"/>
    <col min="4613" max="4613" width="16.42578125" style="243" bestFit="1" customWidth="1"/>
    <col min="4614" max="4614" width="23.42578125" style="243" customWidth="1"/>
    <col min="4615" max="4615" width="11" style="243" bestFit="1" customWidth="1"/>
    <col min="4616" max="4867" width="9.140625" style="243"/>
    <col min="4868" max="4868" width="13.42578125" style="243" bestFit="1" customWidth="1"/>
    <col min="4869" max="4869" width="16.42578125" style="243" bestFit="1" customWidth="1"/>
    <col min="4870" max="4870" width="23.42578125" style="243" customWidth="1"/>
    <col min="4871" max="4871" width="11" style="243" bestFit="1" customWidth="1"/>
    <col min="4872" max="5123" width="9.140625" style="243"/>
    <col min="5124" max="5124" width="13.42578125" style="243" bestFit="1" customWidth="1"/>
    <col min="5125" max="5125" width="16.42578125" style="243" bestFit="1" customWidth="1"/>
    <col min="5126" max="5126" width="23.42578125" style="243" customWidth="1"/>
    <col min="5127" max="5127" width="11" style="243" bestFit="1" customWidth="1"/>
    <col min="5128" max="5379" width="9.140625" style="243"/>
    <col min="5380" max="5380" width="13.42578125" style="243" bestFit="1" customWidth="1"/>
    <col min="5381" max="5381" width="16.42578125" style="243" bestFit="1" customWidth="1"/>
    <col min="5382" max="5382" width="23.42578125" style="243" customWidth="1"/>
    <col min="5383" max="5383" width="11" style="243" bestFit="1" customWidth="1"/>
    <col min="5384" max="5635" width="9.140625" style="243"/>
    <col min="5636" max="5636" width="13.42578125" style="243" bestFit="1" customWidth="1"/>
    <col min="5637" max="5637" width="16.42578125" style="243" bestFit="1" customWidth="1"/>
    <col min="5638" max="5638" width="23.42578125" style="243" customWidth="1"/>
    <col min="5639" max="5639" width="11" style="243" bestFit="1" customWidth="1"/>
    <col min="5640" max="5891" width="9.140625" style="243"/>
    <col min="5892" max="5892" width="13.42578125" style="243" bestFit="1" customWidth="1"/>
    <col min="5893" max="5893" width="16.42578125" style="243" bestFit="1" customWidth="1"/>
    <col min="5894" max="5894" width="23.42578125" style="243" customWidth="1"/>
    <col min="5895" max="5895" width="11" style="243" bestFit="1" customWidth="1"/>
    <col min="5896" max="6147" width="9.140625" style="243"/>
    <col min="6148" max="6148" width="13.42578125" style="243" bestFit="1" customWidth="1"/>
    <col min="6149" max="6149" width="16.42578125" style="243" bestFit="1" customWidth="1"/>
    <col min="6150" max="6150" width="23.42578125" style="243" customWidth="1"/>
    <col min="6151" max="6151" width="11" style="243" bestFit="1" customWidth="1"/>
    <col min="6152" max="6403" width="9.140625" style="243"/>
    <col min="6404" max="6404" width="13.42578125" style="243" bestFit="1" customWidth="1"/>
    <col min="6405" max="6405" width="16.42578125" style="243" bestFit="1" customWidth="1"/>
    <col min="6406" max="6406" width="23.42578125" style="243" customWidth="1"/>
    <col min="6407" max="6407" width="11" style="243" bestFit="1" customWidth="1"/>
    <col min="6408" max="6659" width="9.140625" style="243"/>
    <col min="6660" max="6660" width="13.42578125" style="243" bestFit="1" customWidth="1"/>
    <col min="6661" max="6661" width="16.42578125" style="243" bestFit="1" customWidth="1"/>
    <col min="6662" max="6662" width="23.42578125" style="243" customWidth="1"/>
    <col min="6663" max="6663" width="11" style="243" bestFit="1" customWidth="1"/>
    <col min="6664" max="6915" width="9.140625" style="243"/>
    <col min="6916" max="6916" width="13.42578125" style="243" bestFit="1" customWidth="1"/>
    <col min="6917" max="6917" width="16.42578125" style="243" bestFit="1" customWidth="1"/>
    <col min="6918" max="6918" width="23.42578125" style="243" customWidth="1"/>
    <col min="6919" max="6919" width="11" style="243" bestFit="1" customWidth="1"/>
    <col min="6920" max="7171" width="9.140625" style="243"/>
    <col min="7172" max="7172" width="13.42578125" style="243" bestFit="1" customWidth="1"/>
    <col min="7173" max="7173" width="16.42578125" style="243" bestFit="1" customWidth="1"/>
    <col min="7174" max="7174" width="23.42578125" style="243" customWidth="1"/>
    <col min="7175" max="7175" width="11" style="243" bestFit="1" customWidth="1"/>
    <col min="7176" max="7427" width="9.140625" style="243"/>
    <col min="7428" max="7428" width="13.42578125" style="243" bestFit="1" customWidth="1"/>
    <col min="7429" max="7429" width="16.42578125" style="243" bestFit="1" customWidth="1"/>
    <col min="7430" max="7430" width="23.42578125" style="243" customWidth="1"/>
    <col min="7431" max="7431" width="11" style="243" bestFit="1" customWidth="1"/>
    <col min="7432" max="7683" width="9.140625" style="243"/>
    <col min="7684" max="7684" width="13.42578125" style="243" bestFit="1" customWidth="1"/>
    <col min="7685" max="7685" width="16.42578125" style="243" bestFit="1" customWidth="1"/>
    <col min="7686" max="7686" width="23.42578125" style="243" customWidth="1"/>
    <col min="7687" max="7687" width="11" style="243" bestFit="1" customWidth="1"/>
    <col min="7688" max="7939" width="9.140625" style="243"/>
    <col min="7940" max="7940" width="13.42578125" style="243" bestFit="1" customWidth="1"/>
    <col min="7941" max="7941" width="16.42578125" style="243" bestFit="1" customWidth="1"/>
    <col min="7942" max="7942" width="23.42578125" style="243" customWidth="1"/>
    <col min="7943" max="7943" width="11" style="243" bestFit="1" customWidth="1"/>
    <col min="7944" max="8195" width="9.140625" style="243"/>
    <col min="8196" max="8196" width="13.42578125" style="243" bestFit="1" customWidth="1"/>
    <col min="8197" max="8197" width="16.42578125" style="243" bestFit="1" customWidth="1"/>
    <col min="8198" max="8198" width="23.42578125" style="243" customWidth="1"/>
    <col min="8199" max="8199" width="11" style="243" bestFit="1" customWidth="1"/>
    <col min="8200" max="8451" width="9.140625" style="243"/>
    <col min="8452" max="8452" width="13.42578125" style="243" bestFit="1" customWidth="1"/>
    <col min="8453" max="8453" width="16.42578125" style="243" bestFit="1" customWidth="1"/>
    <col min="8454" max="8454" width="23.42578125" style="243" customWidth="1"/>
    <col min="8455" max="8455" width="11" style="243" bestFit="1" customWidth="1"/>
    <col min="8456" max="8707" width="9.140625" style="243"/>
    <col min="8708" max="8708" width="13.42578125" style="243" bestFit="1" customWidth="1"/>
    <col min="8709" max="8709" width="16.42578125" style="243" bestFit="1" customWidth="1"/>
    <col min="8710" max="8710" width="23.42578125" style="243" customWidth="1"/>
    <col min="8711" max="8711" width="11" style="243" bestFit="1" customWidth="1"/>
    <col min="8712" max="8963" width="9.140625" style="243"/>
    <col min="8964" max="8964" width="13.42578125" style="243" bestFit="1" customWidth="1"/>
    <col min="8965" max="8965" width="16.42578125" style="243" bestFit="1" customWidth="1"/>
    <col min="8966" max="8966" width="23.42578125" style="243" customWidth="1"/>
    <col min="8967" max="8967" width="11" style="243" bestFit="1" customWidth="1"/>
    <col min="8968" max="9219" width="9.140625" style="243"/>
    <col min="9220" max="9220" width="13.42578125" style="243" bestFit="1" customWidth="1"/>
    <col min="9221" max="9221" width="16.42578125" style="243" bestFit="1" customWidth="1"/>
    <col min="9222" max="9222" width="23.42578125" style="243" customWidth="1"/>
    <col min="9223" max="9223" width="11" style="243" bestFit="1" customWidth="1"/>
    <col min="9224" max="9475" width="9.140625" style="243"/>
    <col min="9476" max="9476" width="13.42578125" style="243" bestFit="1" customWidth="1"/>
    <col min="9477" max="9477" width="16.42578125" style="243" bestFit="1" customWidth="1"/>
    <col min="9478" max="9478" width="23.42578125" style="243" customWidth="1"/>
    <col min="9479" max="9479" width="11" style="243" bestFit="1" customWidth="1"/>
    <col min="9480" max="9731" width="9.140625" style="243"/>
    <col min="9732" max="9732" width="13.42578125" style="243" bestFit="1" customWidth="1"/>
    <col min="9733" max="9733" width="16.42578125" style="243" bestFit="1" customWidth="1"/>
    <col min="9734" max="9734" width="23.42578125" style="243" customWidth="1"/>
    <col min="9735" max="9735" width="11" style="243" bestFit="1" customWidth="1"/>
    <col min="9736" max="9987" width="9.140625" style="243"/>
    <col min="9988" max="9988" width="13.42578125" style="243" bestFit="1" customWidth="1"/>
    <col min="9989" max="9989" width="16.42578125" style="243" bestFit="1" customWidth="1"/>
    <col min="9990" max="9990" width="23.42578125" style="243" customWidth="1"/>
    <col min="9991" max="9991" width="11" style="243" bestFit="1" customWidth="1"/>
    <col min="9992" max="10243" width="9.140625" style="243"/>
    <col min="10244" max="10244" width="13.42578125" style="243" bestFit="1" customWidth="1"/>
    <col min="10245" max="10245" width="16.42578125" style="243" bestFit="1" customWidth="1"/>
    <col min="10246" max="10246" width="23.42578125" style="243" customWidth="1"/>
    <col min="10247" max="10247" width="11" style="243" bestFit="1" customWidth="1"/>
    <col min="10248" max="10499" width="9.140625" style="243"/>
    <col min="10500" max="10500" width="13.42578125" style="243" bestFit="1" customWidth="1"/>
    <col min="10501" max="10501" width="16.42578125" style="243" bestFit="1" customWidth="1"/>
    <col min="10502" max="10502" width="23.42578125" style="243" customWidth="1"/>
    <col min="10503" max="10503" width="11" style="243" bestFit="1" customWidth="1"/>
    <col min="10504" max="10755" width="9.140625" style="243"/>
    <col min="10756" max="10756" width="13.42578125" style="243" bestFit="1" customWidth="1"/>
    <col min="10757" max="10757" width="16.42578125" style="243" bestFit="1" customWidth="1"/>
    <col min="10758" max="10758" width="23.42578125" style="243" customWidth="1"/>
    <col min="10759" max="10759" width="11" style="243" bestFit="1" customWidth="1"/>
    <col min="10760" max="11011" width="9.140625" style="243"/>
    <col min="11012" max="11012" width="13.42578125" style="243" bestFit="1" customWidth="1"/>
    <col min="11013" max="11013" width="16.42578125" style="243" bestFit="1" customWidth="1"/>
    <col min="11014" max="11014" width="23.42578125" style="243" customWidth="1"/>
    <col min="11015" max="11015" width="11" style="243" bestFit="1" customWidth="1"/>
    <col min="11016" max="11267" width="9.140625" style="243"/>
    <col min="11268" max="11268" width="13.42578125" style="243" bestFit="1" customWidth="1"/>
    <col min="11269" max="11269" width="16.42578125" style="243" bestFit="1" customWidth="1"/>
    <col min="11270" max="11270" width="23.42578125" style="243" customWidth="1"/>
    <col min="11271" max="11271" width="11" style="243" bestFit="1" customWidth="1"/>
    <col min="11272" max="11523" width="9.140625" style="243"/>
    <col min="11524" max="11524" width="13.42578125" style="243" bestFit="1" customWidth="1"/>
    <col min="11525" max="11525" width="16.42578125" style="243" bestFit="1" customWidth="1"/>
    <col min="11526" max="11526" width="23.42578125" style="243" customWidth="1"/>
    <col min="11527" max="11527" width="11" style="243" bestFit="1" customWidth="1"/>
    <col min="11528" max="11779" width="9.140625" style="243"/>
    <col min="11780" max="11780" width="13.42578125" style="243" bestFit="1" customWidth="1"/>
    <col min="11781" max="11781" width="16.42578125" style="243" bestFit="1" customWidth="1"/>
    <col min="11782" max="11782" width="23.42578125" style="243" customWidth="1"/>
    <col min="11783" max="11783" width="11" style="243" bestFit="1" customWidth="1"/>
    <col min="11784" max="12035" width="9.140625" style="243"/>
    <col min="12036" max="12036" width="13.42578125" style="243" bestFit="1" customWidth="1"/>
    <col min="12037" max="12037" width="16.42578125" style="243" bestFit="1" customWidth="1"/>
    <col min="12038" max="12038" width="23.42578125" style="243" customWidth="1"/>
    <col min="12039" max="12039" width="11" style="243" bestFit="1" customWidth="1"/>
    <col min="12040" max="12291" width="9.140625" style="243"/>
    <col min="12292" max="12292" width="13.42578125" style="243" bestFit="1" customWidth="1"/>
    <col min="12293" max="12293" width="16.42578125" style="243" bestFit="1" customWidth="1"/>
    <col min="12294" max="12294" width="23.42578125" style="243" customWidth="1"/>
    <col min="12295" max="12295" width="11" style="243" bestFit="1" customWidth="1"/>
    <col min="12296" max="12547" width="9.140625" style="243"/>
    <col min="12548" max="12548" width="13.42578125" style="243" bestFit="1" customWidth="1"/>
    <col min="12549" max="12549" width="16.42578125" style="243" bestFit="1" customWidth="1"/>
    <col min="12550" max="12550" width="23.42578125" style="243" customWidth="1"/>
    <col min="12551" max="12551" width="11" style="243" bestFit="1" customWidth="1"/>
    <col min="12552" max="12803" width="9.140625" style="243"/>
    <col min="12804" max="12804" width="13.42578125" style="243" bestFit="1" customWidth="1"/>
    <col min="12805" max="12805" width="16.42578125" style="243" bestFit="1" customWidth="1"/>
    <col min="12806" max="12806" width="23.42578125" style="243" customWidth="1"/>
    <col min="12807" max="12807" width="11" style="243" bestFit="1" customWidth="1"/>
    <col min="12808" max="13059" width="9.140625" style="243"/>
    <col min="13060" max="13060" width="13.42578125" style="243" bestFit="1" customWidth="1"/>
    <col min="13061" max="13061" width="16.42578125" style="243" bestFit="1" customWidth="1"/>
    <col min="13062" max="13062" width="23.42578125" style="243" customWidth="1"/>
    <col min="13063" max="13063" width="11" style="243" bestFit="1" customWidth="1"/>
    <col min="13064" max="13315" width="9.140625" style="243"/>
    <col min="13316" max="13316" width="13.42578125" style="243" bestFit="1" customWidth="1"/>
    <col min="13317" max="13317" width="16.42578125" style="243" bestFit="1" customWidth="1"/>
    <col min="13318" max="13318" width="23.42578125" style="243" customWidth="1"/>
    <col min="13319" max="13319" width="11" style="243" bestFit="1" customWidth="1"/>
    <col min="13320" max="13571" width="9.140625" style="243"/>
    <col min="13572" max="13572" width="13.42578125" style="243" bestFit="1" customWidth="1"/>
    <col min="13573" max="13573" width="16.42578125" style="243" bestFit="1" customWidth="1"/>
    <col min="13574" max="13574" width="23.42578125" style="243" customWidth="1"/>
    <col min="13575" max="13575" width="11" style="243" bestFit="1" customWidth="1"/>
    <col min="13576" max="13827" width="9.140625" style="243"/>
    <col min="13828" max="13828" width="13.42578125" style="243" bestFit="1" customWidth="1"/>
    <col min="13829" max="13829" width="16.42578125" style="243" bestFit="1" customWidth="1"/>
    <col min="13830" max="13830" width="23.42578125" style="243" customWidth="1"/>
    <col min="13831" max="13831" width="11" style="243" bestFit="1" customWidth="1"/>
    <col min="13832" max="14083" width="9.140625" style="243"/>
    <col min="14084" max="14084" width="13.42578125" style="243" bestFit="1" customWidth="1"/>
    <col min="14085" max="14085" width="16.42578125" style="243" bestFit="1" customWidth="1"/>
    <col min="14086" max="14086" width="23.42578125" style="243" customWidth="1"/>
    <col min="14087" max="14087" width="11" style="243" bestFit="1" customWidth="1"/>
    <col min="14088" max="14339" width="9.140625" style="243"/>
    <col min="14340" max="14340" width="13.42578125" style="243" bestFit="1" customWidth="1"/>
    <col min="14341" max="14341" width="16.42578125" style="243" bestFit="1" customWidth="1"/>
    <col min="14342" max="14342" width="23.42578125" style="243" customWidth="1"/>
    <col min="14343" max="14343" width="11" style="243" bestFit="1" customWidth="1"/>
    <col min="14344" max="14595" width="9.140625" style="243"/>
    <col min="14596" max="14596" width="13.42578125" style="243" bestFit="1" customWidth="1"/>
    <col min="14597" max="14597" width="16.42578125" style="243" bestFit="1" customWidth="1"/>
    <col min="14598" max="14598" width="23.42578125" style="243" customWidth="1"/>
    <col min="14599" max="14599" width="11" style="243" bestFit="1" customWidth="1"/>
    <col min="14600" max="14851" width="9.140625" style="243"/>
    <col min="14852" max="14852" width="13.42578125" style="243" bestFit="1" customWidth="1"/>
    <col min="14853" max="14853" width="16.42578125" style="243" bestFit="1" customWidth="1"/>
    <col min="14854" max="14854" width="23.42578125" style="243" customWidth="1"/>
    <col min="14855" max="14855" width="11" style="243" bestFit="1" customWidth="1"/>
    <col min="14856" max="15107" width="9.140625" style="243"/>
    <col min="15108" max="15108" width="13.42578125" style="243" bestFit="1" customWidth="1"/>
    <col min="15109" max="15109" width="16.42578125" style="243" bestFit="1" customWidth="1"/>
    <col min="15110" max="15110" width="23.42578125" style="243" customWidth="1"/>
    <col min="15111" max="15111" width="11" style="243" bestFit="1" customWidth="1"/>
    <col min="15112" max="15363" width="9.140625" style="243"/>
    <col min="15364" max="15364" width="13.42578125" style="243" bestFit="1" customWidth="1"/>
    <col min="15365" max="15365" width="16.42578125" style="243" bestFit="1" customWidth="1"/>
    <col min="15366" max="15366" width="23.42578125" style="243" customWidth="1"/>
    <col min="15367" max="15367" width="11" style="243" bestFit="1" customWidth="1"/>
    <col min="15368" max="15619" width="9.140625" style="243"/>
    <col min="15620" max="15620" width="13.42578125" style="243" bestFit="1" customWidth="1"/>
    <col min="15621" max="15621" width="16.42578125" style="243" bestFit="1" customWidth="1"/>
    <col min="15622" max="15622" width="23.42578125" style="243" customWidth="1"/>
    <col min="15623" max="15623" width="11" style="243" bestFit="1" customWidth="1"/>
    <col min="15624" max="15875" width="9.140625" style="243"/>
    <col min="15876" max="15876" width="13.42578125" style="243" bestFit="1" customWidth="1"/>
    <col min="15877" max="15877" width="16.42578125" style="243" bestFit="1" customWidth="1"/>
    <col min="15878" max="15878" width="23.42578125" style="243" customWidth="1"/>
    <col min="15879" max="15879" width="11" style="243" bestFit="1" customWidth="1"/>
    <col min="15880" max="16131" width="9.140625" style="243"/>
    <col min="16132" max="16132" width="13.42578125" style="243" bestFit="1" customWidth="1"/>
    <col min="16133" max="16133" width="16.42578125" style="243" bestFit="1" customWidth="1"/>
    <col min="16134" max="16134" width="23.42578125" style="243" customWidth="1"/>
    <col min="16135" max="16135" width="11" style="243" bestFit="1" customWidth="1"/>
    <col min="16136" max="16384" width="9.140625" style="243"/>
  </cols>
  <sheetData>
    <row r="1" spans="1:38" ht="20.25" x14ac:dyDescent="0.3">
      <c r="A1" s="244"/>
      <c r="B1" s="245"/>
      <c r="C1" s="244"/>
      <c r="D1" s="245"/>
      <c r="E1" s="244"/>
      <c r="F1" s="244"/>
      <c r="G1" s="244"/>
      <c r="H1" s="79" t="s">
        <v>22</v>
      </c>
      <c r="I1" s="246"/>
      <c r="J1" s="246"/>
      <c r="K1" s="246"/>
      <c r="L1" s="246"/>
      <c r="M1" s="246"/>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row>
    <row r="2" spans="1:38" x14ac:dyDescent="0.2">
      <c r="A2" s="246"/>
      <c r="B2" s="437"/>
      <c r="C2" s="437"/>
      <c r="D2" s="437"/>
      <c r="E2" s="437"/>
      <c r="F2" s="247"/>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row>
    <row r="3" spans="1:38" x14ac:dyDescent="0.2">
      <c r="A3" s="246"/>
      <c r="B3" s="438" t="s">
        <v>236</v>
      </c>
      <c r="C3" s="438"/>
      <c r="D3" s="438"/>
      <c r="E3" s="438"/>
      <c r="F3" s="248" t="s">
        <v>66</v>
      </c>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row>
    <row r="4" spans="1:38" x14ac:dyDescent="0.2">
      <c r="A4" s="246"/>
      <c r="B4" s="246"/>
      <c r="C4" s="246"/>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row>
    <row r="5" spans="1:38" x14ac:dyDescent="0.2">
      <c r="A5" s="246"/>
      <c r="B5" s="249">
        <v>1</v>
      </c>
      <c r="C5" s="243" t="s">
        <v>607</v>
      </c>
      <c r="D5" s="243">
        <f>CONVERT(1,"lbm","kg")</f>
        <v>0.45359237000000002</v>
      </c>
      <c r="E5" s="243" t="s">
        <v>44</v>
      </c>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row>
    <row r="6" spans="1:38" x14ac:dyDescent="0.2">
      <c r="A6" s="246"/>
      <c r="B6" s="250">
        <v>1000</v>
      </c>
      <c r="C6" s="243" t="s">
        <v>615</v>
      </c>
      <c r="D6" s="243">
        <v>1228.97</v>
      </c>
      <c r="E6" s="243" t="s">
        <v>616</v>
      </c>
      <c r="F6" s="243" t="s">
        <v>617</v>
      </c>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row>
    <row r="7" spans="1:38" x14ac:dyDescent="0.2">
      <c r="A7" s="246"/>
      <c r="B7" s="249">
        <v>1</v>
      </c>
      <c r="C7" s="243" t="s">
        <v>580</v>
      </c>
      <c r="D7" s="243">
        <f>CONVERT(1,"gal","l")*B6/D6</f>
        <v>3.0801498685891437</v>
      </c>
      <c r="E7" s="243" t="s">
        <v>44</v>
      </c>
      <c r="F7" s="243" t="s">
        <v>617</v>
      </c>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row>
    <row r="8" spans="1:38" x14ac:dyDescent="0.2">
      <c r="A8" s="246"/>
      <c r="B8" s="250">
        <v>1</v>
      </c>
      <c r="C8" s="243" t="s">
        <v>757</v>
      </c>
      <c r="D8" s="243">
        <v>1000</v>
      </c>
      <c r="E8" s="243" t="s">
        <v>758</v>
      </c>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row>
    <row r="9" spans="1:38" x14ac:dyDescent="0.2">
      <c r="A9" s="246"/>
      <c r="B9" s="249"/>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row>
    <row r="10" spans="1:38" x14ac:dyDescent="0.2">
      <c r="A10" s="246"/>
      <c r="B10" s="251"/>
      <c r="C10" s="246"/>
      <c r="D10" s="246"/>
      <c r="E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row>
    <row r="11" spans="1:38" x14ac:dyDescent="0.2">
      <c r="A11" s="246"/>
      <c r="B11" s="252"/>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row>
    <row r="12" spans="1:38" x14ac:dyDescent="0.2">
      <c r="A12" s="246"/>
      <c r="B12" s="253"/>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row>
    <row r="13" spans="1:38" x14ac:dyDescent="0.2">
      <c r="A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row>
    <row r="14" spans="1:38" x14ac:dyDescent="0.2">
      <c r="A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6"/>
    </row>
    <row r="15" spans="1:38" x14ac:dyDescent="0.2">
      <c r="A15" s="246"/>
      <c r="I15" s="246"/>
      <c r="J15" s="246"/>
      <c r="K15" s="246"/>
      <c r="L15" s="246"/>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row>
    <row r="16" spans="1:38" x14ac:dyDescent="0.2">
      <c r="A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6"/>
      <c r="AJ16" s="246"/>
      <c r="AK16" s="246"/>
      <c r="AL16" s="246"/>
    </row>
    <row r="17" spans="1:38" x14ac:dyDescent="0.2">
      <c r="A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row>
    <row r="18" spans="1:38" x14ac:dyDescent="0.2">
      <c r="A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row>
    <row r="19" spans="1:38" x14ac:dyDescent="0.2">
      <c r="A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row>
    <row r="20" spans="1:38" x14ac:dyDescent="0.2">
      <c r="A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row>
    <row r="21" spans="1:38" x14ac:dyDescent="0.2">
      <c r="A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row>
    <row r="22" spans="1:38" x14ac:dyDescent="0.2">
      <c r="A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row>
    <row r="23" spans="1:38" x14ac:dyDescent="0.2">
      <c r="A23" s="246"/>
      <c r="B23" s="246"/>
      <c r="C23" s="246"/>
      <c r="D23" s="246"/>
      <c r="E23" s="246"/>
      <c r="F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row>
    <row r="24" spans="1:38" x14ac:dyDescent="0.2">
      <c r="A24" s="246"/>
      <c r="B24" s="246"/>
      <c r="C24" s="246"/>
      <c r="D24" s="246"/>
      <c r="E24" s="246"/>
      <c r="F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row>
    <row r="25" spans="1:38" x14ac:dyDescent="0.2">
      <c r="A25" s="246"/>
      <c r="B25" s="208"/>
      <c r="C25" s="254"/>
      <c r="D25" s="208"/>
      <c r="E25" s="208"/>
      <c r="F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row>
    <row r="26" spans="1:38" x14ac:dyDescent="0.2">
      <c r="A26" s="246"/>
      <c r="B26" s="255"/>
      <c r="C26" s="256"/>
      <c r="D26" s="208"/>
      <c r="E26" s="208"/>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row>
    <row r="27" spans="1:38" x14ac:dyDescent="0.2">
      <c r="A27" s="246"/>
      <c r="B27" s="255"/>
      <c r="C27" s="256"/>
      <c r="D27" s="208"/>
      <c r="E27" s="208"/>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row>
    <row r="28" spans="1:38" x14ac:dyDescent="0.2">
      <c r="A28" s="246"/>
      <c r="B28" s="255"/>
      <c r="C28" s="256"/>
      <c r="D28" s="208"/>
      <c r="E28" s="208"/>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row>
    <row r="29" spans="1:38" x14ac:dyDescent="0.2">
      <c r="B29" s="255"/>
      <c r="C29" s="246"/>
      <c r="D29" s="246"/>
      <c r="E29" s="246"/>
    </row>
    <row r="30" spans="1:38" x14ac:dyDescent="0.2">
      <c r="B30" s="255"/>
      <c r="C30" s="246"/>
      <c r="D30" s="246"/>
      <c r="E30" s="246"/>
    </row>
    <row r="31" spans="1:38" x14ac:dyDescent="0.2">
      <c r="B31" s="252"/>
      <c r="C31" s="246"/>
      <c r="D31" s="246"/>
      <c r="E31" s="246"/>
    </row>
    <row r="37" spans="10:10" x14ac:dyDescent="0.2">
      <c r="J37" s="257"/>
    </row>
  </sheetData>
  <mergeCells count="2">
    <mergeCell ref="B2:E2"/>
    <mergeCell ref="B3:E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D5" sqref="D5:L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24</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47" t="s">
        <v>237</v>
      </c>
      <c r="D3" s="247" t="s">
        <v>9</v>
      </c>
    </row>
    <row r="4" spans="1:38" ht="53.25" customHeight="1" x14ac:dyDescent="0.2">
      <c r="C4" s="258">
        <v>1</v>
      </c>
      <c r="D4" s="439" t="s">
        <v>771</v>
      </c>
      <c r="E4" s="440"/>
      <c r="F4" s="440"/>
      <c r="G4" s="440"/>
      <c r="H4" s="440"/>
      <c r="I4" s="440"/>
      <c r="J4" s="440"/>
      <c r="K4" s="440"/>
      <c r="L4" s="440"/>
    </row>
    <row r="5" spans="1:38" ht="15" x14ac:dyDescent="0.2">
      <c r="C5" s="258">
        <v>2</v>
      </c>
      <c r="D5" s="439" t="s">
        <v>765</v>
      </c>
      <c r="E5" s="440"/>
      <c r="F5" s="440"/>
      <c r="G5" s="440"/>
      <c r="H5" s="440"/>
      <c r="I5" s="440"/>
      <c r="J5" s="440"/>
      <c r="K5" s="440"/>
      <c r="L5" s="440"/>
    </row>
    <row r="6" spans="1:38" ht="15" x14ac:dyDescent="0.2">
      <c r="C6" s="258"/>
      <c r="D6" s="439"/>
      <c r="E6" s="440"/>
      <c r="F6" s="440"/>
      <c r="G6" s="440"/>
      <c r="H6" s="440"/>
      <c r="I6" s="440"/>
      <c r="J6" s="440"/>
      <c r="K6" s="440"/>
      <c r="L6" s="440"/>
    </row>
    <row r="7" spans="1:38" ht="15" x14ac:dyDescent="0.2">
      <c r="C7" s="258"/>
      <c r="D7" s="439"/>
      <c r="E7" s="440"/>
      <c r="F7" s="440"/>
      <c r="G7" s="440"/>
      <c r="H7" s="440"/>
      <c r="I7" s="440"/>
      <c r="J7" s="440"/>
      <c r="K7" s="440"/>
      <c r="L7" s="440"/>
    </row>
    <row r="8" spans="1:38" ht="15" x14ac:dyDescent="0.2">
      <c r="C8" s="258"/>
      <c r="D8" s="439"/>
      <c r="E8" s="440"/>
      <c r="F8" s="440"/>
      <c r="G8" s="440"/>
      <c r="H8" s="440"/>
      <c r="I8" s="440"/>
      <c r="J8" s="440"/>
      <c r="K8" s="440"/>
      <c r="L8" s="440"/>
    </row>
    <row r="9" spans="1:38" ht="15" x14ac:dyDescent="0.2">
      <c r="C9" s="258"/>
      <c r="D9" s="439"/>
      <c r="E9" s="440"/>
      <c r="F9" s="440"/>
      <c r="G9" s="440"/>
      <c r="H9" s="440"/>
      <c r="I9" s="440"/>
      <c r="J9" s="440"/>
      <c r="K9" s="440"/>
      <c r="L9" s="440"/>
    </row>
    <row r="10" spans="1:38" ht="15" x14ac:dyDescent="0.2">
      <c r="C10" s="258"/>
      <c r="D10" s="439"/>
      <c r="E10" s="440"/>
      <c r="F10" s="440"/>
      <c r="G10" s="440"/>
      <c r="H10" s="440"/>
      <c r="I10" s="440"/>
      <c r="J10" s="440"/>
      <c r="K10" s="440"/>
      <c r="L10" s="440"/>
    </row>
    <row r="11" spans="1:38" ht="15" x14ac:dyDescent="0.2">
      <c r="C11" s="258"/>
      <c r="D11" s="439"/>
      <c r="E11" s="440"/>
      <c r="F11" s="440"/>
      <c r="G11" s="440"/>
      <c r="H11" s="440"/>
      <c r="I11" s="440"/>
      <c r="J11" s="440"/>
      <c r="K11" s="440"/>
      <c r="L11" s="440"/>
    </row>
    <row r="12" spans="1:38" ht="15" x14ac:dyDescent="0.2">
      <c r="C12" s="258"/>
      <c r="D12" s="439"/>
      <c r="E12" s="440"/>
      <c r="F12" s="440"/>
      <c r="G12" s="440"/>
      <c r="H12" s="440"/>
      <c r="I12" s="440"/>
      <c r="J12" s="440"/>
      <c r="K12" s="440"/>
      <c r="L12" s="440"/>
    </row>
    <row r="13" spans="1:38" ht="15" x14ac:dyDescent="0.2">
      <c r="C13" s="258"/>
      <c r="D13" s="439"/>
      <c r="E13" s="440"/>
      <c r="F13" s="440"/>
      <c r="G13" s="440"/>
      <c r="H13" s="440"/>
      <c r="I13" s="440"/>
      <c r="J13" s="440"/>
      <c r="K13" s="440"/>
      <c r="L13" s="440"/>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17"/>
  <sheetViews>
    <sheetView workbookViewId="0"/>
  </sheetViews>
  <sheetFormatPr defaultColWidth="30.7109375" defaultRowHeight="15" x14ac:dyDescent="0.25"/>
  <cols>
    <col min="1" max="1" width="30.7109375" style="269"/>
    <col min="2" max="16384" width="30.7109375" style="268"/>
  </cols>
  <sheetData>
    <row r="1" spans="1:20" x14ac:dyDescent="0.25">
      <c r="A1" s="269" t="s">
        <v>20</v>
      </c>
      <c r="B1" s="268" t="s">
        <v>297</v>
      </c>
      <c r="C1" s="268" t="s">
        <v>288</v>
      </c>
      <c r="D1" s="268">
        <v>5</v>
      </c>
      <c r="E1" s="268" t="s">
        <v>289</v>
      </c>
      <c r="F1" s="268">
        <v>7</v>
      </c>
      <c r="G1" s="268" t="s">
        <v>290</v>
      </c>
      <c r="H1" s="268">
        <v>1</v>
      </c>
      <c r="I1" s="268" t="s">
        <v>291</v>
      </c>
      <c r="J1" s="268">
        <v>1</v>
      </c>
      <c r="K1" s="268" t="s">
        <v>292</v>
      </c>
      <c r="L1" s="268">
        <v>0</v>
      </c>
      <c r="M1" s="268" t="s">
        <v>293</v>
      </c>
      <c r="N1" s="268">
        <v>0</v>
      </c>
      <c r="O1" s="268" t="s">
        <v>294</v>
      </c>
      <c r="P1" s="268">
        <v>1</v>
      </c>
      <c r="Q1" s="268" t="s">
        <v>295</v>
      </c>
      <c r="R1" s="268">
        <v>0</v>
      </c>
      <c r="S1" s="268" t="s">
        <v>296</v>
      </c>
      <c r="T1" s="268">
        <v>0</v>
      </c>
    </row>
    <row r="2" spans="1:20" x14ac:dyDescent="0.25">
      <c r="A2" s="269" t="s">
        <v>298</v>
      </c>
      <c r="B2" s="268" t="s">
        <v>299</v>
      </c>
    </row>
    <row r="3" spans="1:20" x14ac:dyDescent="0.25">
      <c r="A3" s="269" t="s">
        <v>300</v>
      </c>
      <c r="B3" s="268" t="b">
        <f>IF(B10&gt;256,"TripUpST110AndEarlier",FALSE)</f>
        <v>0</v>
      </c>
    </row>
    <row r="4" spans="1:20" x14ac:dyDescent="0.25">
      <c r="A4" s="269" t="s">
        <v>301</v>
      </c>
      <c r="B4" s="268" t="s">
        <v>302</v>
      </c>
    </row>
    <row r="5" spans="1:20" x14ac:dyDescent="0.25">
      <c r="A5" s="269" t="s">
        <v>303</v>
      </c>
      <c r="B5" s="268" t="b">
        <v>0</v>
      </c>
    </row>
    <row r="6" spans="1:20" x14ac:dyDescent="0.25">
      <c r="A6" s="269" t="s">
        <v>304</v>
      </c>
      <c r="B6" s="268" t="b">
        <v>1</v>
      </c>
    </row>
    <row r="7" spans="1:20" x14ac:dyDescent="0.25">
      <c r="A7" s="269" t="s">
        <v>305</v>
      </c>
      <c r="B7" s="268" t="e">
        <f>mixer_settler_power!$C$5:$D$13</f>
        <v>#VALUE!</v>
      </c>
    </row>
    <row r="8" spans="1:20" x14ac:dyDescent="0.25">
      <c r="A8" s="269" t="s">
        <v>306</v>
      </c>
      <c r="B8" s="268">
        <v>1</v>
      </c>
    </row>
    <row r="9" spans="1:20" x14ac:dyDescent="0.25">
      <c r="A9" s="269" t="s">
        <v>307</v>
      </c>
      <c r="B9" s="268">
        <f>1</f>
        <v>1</v>
      </c>
    </row>
    <row r="10" spans="1:20" x14ac:dyDescent="0.25">
      <c r="A10" s="269" t="s">
        <v>308</v>
      </c>
      <c r="B10" s="268">
        <v>2</v>
      </c>
    </row>
    <row r="12" spans="1:20" x14ac:dyDescent="0.25">
      <c r="A12" s="269" t="s">
        <v>309</v>
      </c>
      <c r="B12" s="268" t="s">
        <v>310</v>
      </c>
      <c r="C12" s="268" t="s">
        <v>242</v>
      </c>
      <c r="D12" s="268" t="s">
        <v>311</v>
      </c>
      <c r="E12" s="268" t="b">
        <v>1</v>
      </c>
      <c r="F12" s="268">
        <v>0</v>
      </c>
      <c r="G12" s="268">
        <v>4</v>
      </c>
    </row>
    <row r="13" spans="1:20" x14ac:dyDescent="0.25">
      <c r="A13" s="269" t="s">
        <v>312</v>
      </c>
      <c r="B13" s="268">
        <f>mixer_settler_power!$C$5:$C$13</f>
        <v>360</v>
      </c>
    </row>
    <row r="14" spans="1:20" x14ac:dyDescent="0.25">
      <c r="A14" s="269" t="s">
        <v>313</v>
      </c>
    </row>
    <row r="15" spans="1:20" x14ac:dyDescent="0.25">
      <c r="A15" s="269" t="s">
        <v>314</v>
      </c>
      <c r="B15" s="268" t="s">
        <v>315</v>
      </c>
      <c r="C15" s="268" t="s">
        <v>316</v>
      </c>
      <c r="D15" s="268" t="s">
        <v>317</v>
      </c>
      <c r="E15" s="268" t="b">
        <v>1</v>
      </c>
      <c r="F15" s="268">
        <v>0</v>
      </c>
      <c r="G15" s="268">
        <v>4</v>
      </c>
    </row>
    <row r="16" spans="1:20" x14ac:dyDescent="0.25">
      <c r="A16" s="269" t="s">
        <v>318</v>
      </c>
      <c r="B16" s="268" t="e">
        <f>mixer_settler_power!$D$5:$D$13</f>
        <v>#VALUE!</v>
      </c>
    </row>
    <row r="17" spans="1:1" x14ac:dyDescent="0.25">
      <c r="A17" s="269" t="s">
        <v>319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5"/>
  <sheetViews>
    <sheetView workbookViewId="0"/>
  </sheetViews>
  <sheetFormatPr defaultRowHeight="15" x14ac:dyDescent="0.25"/>
  <sheetData>
    <row r="15" spans="6:6" x14ac:dyDescent="0.25">
      <c r="F15" s="294"/>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210"/>
  <sheetViews>
    <sheetView tabSelected="1" workbookViewId="0"/>
  </sheetViews>
  <sheetFormatPr defaultColWidth="9.140625" defaultRowHeight="15" x14ac:dyDescent="0.25"/>
  <cols>
    <col min="1" max="1" width="1.85546875" customWidth="1"/>
    <col min="2" max="2" width="3.5703125" customWidth="1"/>
    <col min="3" max="3" width="29.285156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34" t="s">
        <v>0</v>
      </c>
      <c r="C1" s="334"/>
      <c r="D1" s="334"/>
      <c r="E1" s="334"/>
      <c r="F1" s="334"/>
      <c r="G1" s="334"/>
      <c r="H1" s="334"/>
      <c r="I1" s="334"/>
      <c r="J1" s="334"/>
      <c r="K1" s="334"/>
      <c r="L1" s="334"/>
      <c r="M1" s="334"/>
      <c r="N1" s="334"/>
      <c r="O1" s="334"/>
      <c r="P1" s="334"/>
      <c r="Q1" s="334"/>
      <c r="R1" s="2"/>
      <c r="S1" s="2"/>
      <c r="T1" s="2"/>
      <c r="U1" s="2"/>
      <c r="V1" s="2"/>
      <c r="W1" s="2"/>
      <c r="X1" s="2"/>
      <c r="Y1" s="2"/>
    </row>
    <row r="2" spans="1:25" ht="20.25" x14ac:dyDescent="0.3">
      <c r="A2" s="2"/>
      <c r="B2" s="334" t="s">
        <v>41</v>
      </c>
      <c r="C2" s="334"/>
      <c r="D2" s="334"/>
      <c r="E2" s="334"/>
      <c r="F2" s="334"/>
      <c r="G2" s="334"/>
      <c r="H2" s="334"/>
      <c r="I2" s="334"/>
      <c r="J2" s="334"/>
      <c r="K2" s="334"/>
      <c r="L2" s="334"/>
      <c r="M2" s="334"/>
      <c r="N2" s="334"/>
      <c r="O2" s="334"/>
      <c r="P2" s="334"/>
      <c r="Q2" s="334"/>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51" t="s">
        <v>42</v>
      </c>
      <c r="C4" s="351"/>
      <c r="D4" s="22" t="s">
        <v>238</v>
      </c>
      <c r="E4" s="23"/>
      <c r="F4" s="2"/>
      <c r="G4" s="2"/>
      <c r="H4" s="2"/>
      <c r="I4" s="2"/>
      <c r="J4" s="2"/>
      <c r="K4" s="2"/>
      <c r="L4" s="2"/>
      <c r="M4" s="2"/>
      <c r="N4" s="2"/>
      <c r="O4" s="2"/>
      <c r="P4" s="2"/>
      <c r="Q4" s="2"/>
      <c r="R4" s="2"/>
      <c r="S4" s="2"/>
      <c r="T4" s="2"/>
      <c r="U4" s="2"/>
      <c r="V4" s="2"/>
      <c r="W4" s="2"/>
      <c r="X4" s="2"/>
      <c r="Y4" s="2"/>
    </row>
    <row r="5" spans="1:25" ht="15.75" thickBot="1" x14ac:dyDescent="0.3">
      <c r="A5" s="2"/>
      <c r="B5" s="351" t="s">
        <v>43</v>
      </c>
      <c r="C5" s="351"/>
      <c r="D5" s="24">
        <v>1</v>
      </c>
      <c r="E5" s="25" t="s">
        <v>44</v>
      </c>
      <c r="F5" s="26" t="s">
        <v>45</v>
      </c>
      <c r="G5" s="356" t="s">
        <v>543</v>
      </c>
      <c r="H5" s="356"/>
      <c r="I5" s="356"/>
      <c r="J5" s="356"/>
      <c r="K5" s="27"/>
      <c r="L5" s="27"/>
      <c r="M5" s="28" t="s">
        <v>17</v>
      </c>
      <c r="N5" s="29" t="str">
        <f>DQI!I8</f>
        <v>3,2,3,0,1</v>
      </c>
      <c r="O5" s="30"/>
      <c r="P5" s="18" t="s">
        <v>46</v>
      </c>
      <c r="Q5" s="2"/>
      <c r="R5" s="2"/>
      <c r="S5" s="2"/>
      <c r="T5" s="2"/>
      <c r="U5" s="2"/>
      <c r="V5" s="2"/>
      <c r="W5" s="2"/>
      <c r="X5" s="2"/>
      <c r="Y5" s="2"/>
    </row>
    <row r="6" spans="1:25" ht="27.75" customHeight="1" x14ac:dyDescent="0.25">
      <c r="A6" s="2"/>
      <c r="B6" s="357" t="s">
        <v>47</v>
      </c>
      <c r="C6" s="358"/>
      <c r="D6" s="359" t="s">
        <v>717</v>
      </c>
      <c r="E6" s="360"/>
      <c r="F6" s="360"/>
      <c r="G6" s="360"/>
      <c r="H6" s="360"/>
      <c r="I6" s="360"/>
      <c r="J6" s="360"/>
      <c r="K6" s="360"/>
      <c r="L6" s="360"/>
      <c r="M6" s="360"/>
      <c r="N6" s="360"/>
      <c r="O6" s="361"/>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362" t="s">
        <v>48</v>
      </c>
      <c r="C8" s="363"/>
      <c r="D8" s="363"/>
      <c r="E8" s="363"/>
      <c r="F8" s="363"/>
      <c r="G8" s="363"/>
      <c r="H8" s="363"/>
      <c r="I8" s="363"/>
      <c r="J8" s="363"/>
      <c r="K8" s="363"/>
      <c r="L8" s="363"/>
      <c r="M8" s="363"/>
      <c r="N8" s="363"/>
      <c r="O8" s="363"/>
      <c r="P8" s="364"/>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51" t="s">
        <v>49</v>
      </c>
      <c r="C10" s="351"/>
      <c r="D10" s="365" t="s">
        <v>495</v>
      </c>
      <c r="E10" s="366"/>
      <c r="F10" s="2"/>
      <c r="G10" s="33" t="s">
        <v>50</v>
      </c>
      <c r="H10" s="34"/>
      <c r="I10" s="34"/>
      <c r="J10" s="34"/>
      <c r="K10" s="34"/>
      <c r="L10" s="34"/>
      <c r="M10" s="34"/>
      <c r="N10" s="34"/>
      <c r="O10" s="35"/>
      <c r="P10" s="2"/>
      <c r="Q10" s="2"/>
      <c r="R10" s="2"/>
      <c r="S10" s="2"/>
      <c r="T10" s="2"/>
      <c r="U10" s="2"/>
      <c r="V10" s="2"/>
      <c r="W10" s="2"/>
      <c r="X10" s="2"/>
      <c r="Y10" s="2"/>
    </row>
    <row r="11" spans="1:25" x14ac:dyDescent="0.25">
      <c r="A11" s="2"/>
      <c r="B11" s="367" t="s">
        <v>51</v>
      </c>
      <c r="C11" s="368"/>
      <c r="D11" s="369" t="s">
        <v>495</v>
      </c>
      <c r="E11" s="366"/>
      <c r="F11" s="2"/>
      <c r="G11" s="36" t="str">
        <f>CONCATENATE("Reference Flow: ",D5," ",E5," of ",G5)</f>
        <v>Reference Flow: 1 kg of rare earth chloride concentrate input</v>
      </c>
      <c r="H11" s="37"/>
      <c r="I11" s="37"/>
      <c r="J11" s="37"/>
      <c r="K11" s="37"/>
      <c r="L11" s="37"/>
      <c r="M11" s="37"/>
      <c r="N11" s="37"/>
      <c r="O11" s="38"/>
      <c r="P11" s="2"/>
      <c r="Q11" s="2"/>
      <c r="R11" s="2"/>
      <c r="S11" s="2"/>
      <c r="T11" s="2"/>
      <c r="U11" s="2"/>
      <c r="V11" s="2"/>
      <c r="W11" s="2"/>
      <c r="X11" s="2"/>
      <c r="Y11" s="2"/>
    </row>
    <row r="12" spans="1:25" x14ac:dyDescent="0.25">
      <c r="A12" s="2"/>
      <c r="B12" s="351" t="s">
        <v>52</v>
      </c>
      <c r="C12" s="351"/>
      <c r="D12" s="352" t="s">
        <v>495</v>
      </c>
      <c r="E12" s="352"/>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351" t="s">
        <v>53</v>
      </c>
      <c r="C13" s="351"/>
      <c r="D13" s="352" t="s">
        <v>94</v>
      </c>
      <c r="E13" s="352"/>
      <c r="F13" s="2"/>
      <c r="G13" s="353" t="s">
        <v>718</v>
      </c>
      <c r="H13" s="354"/>
      <c r="I13" s="354"/>
      <c r="J13" s="354"/>
      <c r="K13" s="354"/>
      <c r="L13" s="354"/>
      <c r="M13" s="354"/>
      <c r="N13" s="354"/>
      <c r="O13" s="355"/>
      <c r="P13" s="2"/>
      <c r="Q13" s="2"/>
      <c r="R13" s="2"/>
      <c r="S13" s="2"/>
      <c r="T13" s="2"/>
      <c r="U13" s="2"/>
      <c r="V13" s="2"/>
      <c r="W13" s="2"/>
      <c r="X13" s="2"/>
      <c r="Y13" s="2"/>
    </row>
    <row r="14" spans="1:25" x14ac:dyDescent="0.25">
      <c r="A14" s="2"/>
      <c r="B14" s="351" t="s">
        <v>54</v>
      </c>
      <c r="C14" s="351"/>
      <c r="D14" s="352" t="s">
        <v>100</v>
      </c>
      <c r="E14" s="352"/>
      <c r="F14" s="2"/>
      <c r="G14" s="353"/>
      <c r="H14" s="354"/>
      <c r="I14" s="354"/>
      <c r="J14" s="354"/>
      <c r="K14" s="354"/>
      <c r="L14" s="354"/>
      <c r="M14" s="354"/>
      <c r="N14" s="354"/>
      <c r="O14" s="355"/>
      <c r="P14" s="2"/>
      <c r="Q14" s="2"/>
      <c r="R14" s="2"/>
      <c r="S14" s="2"/>
      <c r="T14" s="2"/>
      <c r="U14" s="2"/>
      <c r="V14" s="2"/>
      <c r="W14" s="2"/>
      <c r="X14" s="2"/>
      <c r="Y14" s="2"/>
    </row>
    <row r="15" spans="1:25" x14ac:dyDescent="0.25">
      <c r="A15" s="2"/>
      <c r="B15" s="351" t="s">
        <v>55</v>
      </c>
      <c r="C15" s="351"/>
      <c r="D15" s="352" t="s">
        <v>542</v>
      </c>
      <c r="E15" s="352"/>
      <c r="F15" s="2"/>
      <c r="G15" s="353"/>
      <c r="H15" s="354"/>
      <c r="I15" s="354"/>
      <c r="J15" s="354"/>
      <c r="K15" s="354"/>
      <c r="L15" s="354"/>
      <c r="M15" s="354"/>
      <c r="N15" s="354"/>
      <c r="O15" s="355"/>
      <c r="P15" s="2"/>
      <c r="Q15" s="2"/>
      <c r="R15" s="2"/>
      <c r="S15" s="2"/>
      <c r="T15" s="2"/>
      <c r="U15" s="2"/>
      <c r="V15" s="2"/>
      <c r="W15" s="2"/>
      <c r="X15" s="2"/>
      <c r="Y15" s="2"/>
    </row>
    <row r="16" spans="1:25" x14ac:dyDescent="0.25">
      <c r="A16" s="2"/>
      <c r="B16" s="351" t="s">
        <v>56</v>
      </c>
      <c r="C16" s="351"/>
      <c r="D16" s="352" t="s">
        <v>101</v>
      </c>
      <c r="E16" s="352"/>
      <c r="F16" s="2"/>
      <c r="G16" s="353"/>
      <c r="H16" s="354"/>
      <c r="I16" s="354"/>
      <c r="J16" s="354"/>
      <c r="K16" s="354"/>
      <c r="L16" s="354"/>
      <c r="M16" s="354"/>
      <c r="N16" s="354"/>
      <c r="O16" s="355"/>
      <c r="P16" s="2"/>
      <c r="Q16" s="2"/>
      <c r="R16" s="2"/>
      <c r="S16" s="2"/>
      <c r="T16" s="2"/>
      <c r="U16" s="2"/>
      <c r="V16" s="2"/>
      <c r="W16" s="2"/>
      <c r="X16" s="2"/>
      <c r="Y16" s="2"/>
    </row>
    <row r="17" spans="1:25" ht="23.45" customHeight="1" x14ac:dyDescent="0.25">
      <c r="A17" s="2"/>
      <c r="B17" s="370" t="s">
        <v>57</v>
      </c>
      <c r="C17" s="371"/>
      <c r="D17" s="372"/>
      <c r="E17" s="372"/>
      <c r="F17" s="2"/>
      <c r="G17" s="39" t="s">
        <v>755</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362" t="s">
        <v>58</v>
      </c>
      <c r="C20" s="363"/>
      <c r="D20" s="363"/>
      <c r="E20" s="363"/>
      <c r="F20" s="363"/>
      <c r="G20" s="363"/>
      <c r="H20" s="363"/>
      <c r="I20" s="363"/>
      <c r="J20" s="363"/>
      <c r="K20" s="363"/>
      <c r="L20" s="363"/>
      <c r="M20" s="363"/>
      <c r="N20" s="363"/>
      <c r="O20" s="363"/>
      <c r="P20" s="364"/>
      <c r="Q20" s="32"/>
      <c r="R20" s="32"/>
      <c r="S20" s="32"/>
      <c r="T20" s="32"/>
      <c r="U20" s="32"/>
      <c r="V20" s="32"/>
      <c r="W20" s="32"/>
      <c r="X20" s="32"/>
      <c r="Y20" s="32"/>
    </row>
    <row r="21" spans="1:25" x14ac:dyDescent="0.25">
      <c r="A21" s="2"/>
      <c r="B21" s="9"/>
      <c r="C21" s="2"/>
      <c r="D21" s="2"/>
      <c r="E21" s="2"/>
      <c r="F21" s="2"/>
      <c r="G21" s="42" t="s">
        <v>59</v>
      </c>
      <c r="H21" s="2"/>
      <c r="I21" s="2"/>
      <c r="J21" s="2"/>
      <c r="K21" s="2"/>
      <c r="L21" s="2"/>
      <c r="M21" s="2"/>
      <c r="N21" s="2"/>
      <c r="O21" s="2"/>
      <c r="P21" s="2"/>
      <c r="Q21" s="2"/>
      <c r="R21" s="2"/>
      <c r="S21" s="2"/>
      <c r="T21" s="2"/>
      <c r="U21" s="2"/>
      <c r="V21" s="2"/>
      <c r="W21" s="2"/>
      <c r="X21" s="2"/>
      <c r="Y21" s="2"/>
    </row>
    <row r="22" spans="1:25" x14ac:dyDescent="0.25">
      <c r="A22" s="2"/>
      <c r="B22" s="9"/>
      <c r="C22" s="43" t="s">
        <v>60</v>
      </c>
      <c r="D22" s="43" t="s">
        <v>61</v>
      </c>
      <c r="E22" s="43" t="s">
        <v>62</v>
      </c>
      <c r="F22" s="43" t="s">
        <v>63</v>
      </c>
      <c r="G22" s="43" t="s">
        <v>64</v>
      </c>
      <c r="H22" s="43" t="s">
        <v>65</v>
      </c>
      <c r="I22" s="43" t="s">
        <v>66</v>
      </c>
      <c r="J22" s="373" t="s">
        <v>67</v>
      </c>
      <c r="K22" s="374"/>
      <c r="L22" s="374"/>
      <c r="M22" s="374"/>
      <c r="N22" s="374"/>
      <c r="O22" s="374"/>
      <c r="P22" s="375"/>
      <c r="Q22" s="2"/>
      <c r="R22" s="2"/>
      <c r="S22" s="2"/>
      <c r="T22" s="2"/>
      <c r="U22" s="2"/>
      <c r="V22" s="2"/>
      <c r="W22" s="2"/>
      <c r="X22" s="2"/>
      <c r="Y22" s="2"/>
    </row>
    <row r="23" spans="1:25" x14ac:dyDescent="0.25">
      <c r="A23" s="2"/>
      <c r="B23" s="18">
        <f t="shared" ref="B23:B124" si="0">LEN(C23)</f>
        <v>12</v>
      </c>
      <c r="C23" s="44" t="s">
        <v>284</v>
      </c>
      <c r="D23" s="45"/>
      <c r="E23" s="93">
        <f>mixer_settler_power!K20</f>
        <v>3.3745787358402397E-2</v>
      </c>
      <c r="F23" s="266">
        <f>mixer_settler_power!K19</f>
        <v>2.8997355008928555E-2</v>
      </c>
      <c r="G23" s="267">
        <f>mixer_settler_power!K21</f>
        <v>3.8494219707876233E-2</v>
      </c>
      <c r="H23" s="49" t="s">
        <v>255</v>
      </c>
      <c r="I23" s="47">
        <v>1</v>
      </c>
      <c r="J23" s="369" t="s">
        <v>421</v>
      </c>
      <c r="K23" s="376"/>
      <c r="L23" s="376"/>
      <c r="M23" s="376"/>
      <c r="N23" s="376"/>
      <c r="O23" s="376"/>
      <c r="P23" s="377"/>
      <c r="Q23" s="2"/>
      <c r="R23" s="2"/>
      <c r="S23" s="2"/>
      <c r="T23" s="2"/>
      <c r="U23" s="2"/>
      <c r="V23" s="2"/>
      <c r="W23" s="2"/>
      <c r="X23" s="2"/>
      <c r="Y23" s="2"/>
    </row>
    <row r="24" spans="1:25" x14ac:dyDescent="0.25">
      <c r="A24" s="2"/>
      <c r="B24" s="18">
        <f t="shared" si="0"/>
        <v>14</v>
      </c>
      <c r="C24" s="44" t="s">
        <v>458</v>
      </c>
      <c r="D24" s="45"/>
      <c r="E24" s="46">
        <v>10</v>
      </c>
      <c r="F24" s="47"/>
      <c r="G24" s="48"/>
      <c r="H24" s="49"/>
      <c r="I24" s="47"/>
      <c r="J24" s="369" t="s">
        <v>457</v>
      </c>
      <c r="K24" s="376"/>
      <c r="L24" s="376"/>
      <c r="M24" s="376"/>
      <c r="N24" s="376"/>
      <c r="O24" s="376"/>
      <c r="P24" s="377"/>
      <c r="Q24" s="2"/>
      <c r="R24" s="2"/>
      <c r="S24" s="2"/>
      <c r="T24" s="2"/>
      <c r="U24" s="2"/>
      <c r="V24" s="2"/>
      <c r="W24" s="2"/>
      <c r="X24" s="2"/>
      <c r="Y24" s="2"/>
    </row>
    <row r="25" spans="1:25" x14ac:dyDescent="0.25">
      <c r="A25" s="2"/>
      <c r="B25" s="18">
        <f t="shared" si="0"/>
        <v>12</v>
      </c>
      <c r="C25" s="44" t="s">
        <v>286</v>
      </c>
      <c r="D25" s="45"/>
      <c r="E25" s="46">
        <f>Separation_factors!P79</f>
        <v>14</v>
      </c>
      <c r="F25" s="47"/>
      <c r="G25" s="48"/>
      <c r="H25" s="49"/>
      <c r="I25" s="47">
        <v>2</v>
      </c>
      <c r="J25" s="369" t="s">
        <v>422</v>
      </c>
      <c r="K25" s="376"/>
      <c r="L25" s="376"/>
      <c r="M25" s="376"/>
      <c r="N25" s="376"/>
      <c r="O25" s="376"/>
      <c r="P25" s="377"/>
      <c r="Q25" s="2"/>
      <c r="R25" s="2"/>
      <c r="S25" s="2"/>
      <c r="T25" s="2"/>
      <c r="U25" s="2"/>
      <c r="V25" s="2"/>
      <c r="W25" s="2"/>
      <c r="X25" s="2"/>
      <c r="Y25" s="2"/>
    </row>
    <row r="26" spans="1:25" x14ac:dyDescent="0.25">
      <c r="A26" s="2"/>
      <c r="B26" s="18">
        <f t="shared" si="0"/>
        <v>12</v>
      </c>
      <c r="C26" s="44" t="s">
        <v>287</v>
      </c>
      <c r="D26" s="45"/>
      <c r="E26" s="46">
        <f>Separation_factors!P80</f>
        <v>10</v>
      </c>
      <c r="F26" s="47"/>
      <c r="G26" s="48"/>
      <c r="H26" s="49"/>
      <c r="I26" s="47">
        <v>2</v>
      </c>
      <c r="J26" s="369" t="s">
        <v>423</v>
      </c>
      <c r="K26" s="376"/>
      <c r="L26" s="376"/>
      <c r="M26" s="376"/>
      <c r="N26" s="376"/>
      <c r="O26" s="376"/>
      <c r="P26" s="377"/>
      <c r="Q26" s="2"/>
      <c r="R26" s="2"/>
      <c r="S26" s="2"/>
      <c r="T26" s="2"/>
      <c r="U26" s="2"/>
      <c r="V26" s="2"/>
      <c r="W26" s="2"/>
      <c r="X26" s="2"/>
      <c r="Y26" s="2"/>
    </row>
    <row r="27" spans="1:25" x14ac:dyDescent="0.25">
      <c r="A27" s="2"/>
      <c r="B27" s="18">
        <f t="shared" si="0"/>
        <v>13</v>
      </c>
      <c r="C27" s="44" t="s">
        <v>418</v>
      </c>
      <c r="D27" s="45"/>
      <c r="E27" s="99">
        <v>0.96</v>
      </c>
      <c r="F27" s="47"/>
      <c r="G27" s="48"/>
      <c r="H27" s="49" t="s">
        <v>327</v>
      </c>
      <c r="I27" s="47">
        <v>6</v>
      </c>
      <c r="J27" s="369" t="s">
        <v>424</v>
      </c>
      <c r="K27" s="376"/>
      <c r="L27" s="376"/>
      <c r="M27" s="376"/>
      <c r="N27" s="376"/>
      <c r="O27" s="376"/>
      <c r="P27" s="377"/>
      <c r="Q27" s="2"/>
      <c r="R27" s="2"/>
      <c r="S27" s="2"/>
      <c r="T27" s="2"/>
      <c r="U27" s="2"/>
      <c r="V27" s="2"/>
      <c r="W27" s="2"/>
      <c r="X27" s="2"/>
      <c r="Y27" s="2"/>
    </row>
    <row r="28" spans="1:25" x14ac:dyDescent="0.25">
      <c r="A28" s="2"/>
      <c r="B28" s="18">
        <f t="shared" si="0"/>
        <v>12</v>
      </c>
      <c r="C28" s="44" t="s">
        <v>419</v>
      </c>
      <c r="D28" s="45"/>
      <c r="E28" s="105">
        <f>material_use!Q18</f>
        <v>1.2227505534435796E-6</v>
      </c>
      <c r="F28" s="47"/>
      <c r="G28" s="48"/>
      <c r="H28" s="49" t="s">
        <v>420</v>
      </c>
      <c r="I28" s="47">
        <v>4</v>
      </c>
      <c r="J28" s="369" t="s">
        <v>425</v>
      </c>
      <c r="K28" s="376"/>
      <c r="L28" s="376"/>
      <c r="M28" s="376"/>
      <c r="N28" s="376"/>
      <c r="O28" s="376"/>
      <c r="P28" s="377"/>
      <c r="Q28" s="2"/>
      <c r="R28" s="2"/>
      <c r="S28" s="2"/>
      <c r="T28" s="2"/>
      <c r="U28" s="2"/>
      <c r="V28" s="2"/>
      <c r="W28" s="2"/>
      <c r="X28" s="2"/>
      <c r="Y28" s="2"/>
    </row>
    <row r="29" spans="1:25" x14ac:dyDescent="0.25">
      <c r="A29" s="2"/>
      <c r="B29" s="18">
        <f t="shared" si="0"/>
        <v>7</v>
      </c>
      <c r="C29" s="44" t="s">
        <v>461</v>
      </c>
      <c r="D29" s="45"/>
      <c r="E29" s="99">
        <f>Separation_factors!E39</f>
        <v>6.41639898943723</v>
      </c>
      <c r="F29" s="47"/>
      <c r="G29" s="48"/>
      <c r="H29" s="49"/>
      <c r="I29" s="47"/>
      <c r="J29" s="369" t="s">
        <v>502</v>
      </c>
      <c r="K29" s="376"/>
      <c r="L29" s="376"/>
      <c r="M29" s="376"/>
      <c r="N29" s="376"/>
      <c r="O29" s="376"/>
      <c r="P29" s="377"/>
      <c r="Q29" s="2"/>
      <c r="R29" s="2"/>
      <c r="S29" s="2"/>
      <c r="T29" s="2"/>
      <c r="U29" s="2"/>
      <c r="V29" s="2"/>
      <c r="W29" s="2"/>
      <c r="X29" s="2"/>
      <c r="Y29" s="2"/>
    </row>
    <row r="30" spans="1:25" x14ac:dyDescent="0.25">
      <c r="A30" s="2"/>
      <c r="B30" s="18">
        <f t="shared" si="0"/>
        <v>7</v>
      </c>
      <c r="C30" s="44" t="s">
        <v>462</v>
      </c>
      <c r="D30" s="45"/>
      <c r="E30" s="99">
        <f>Separation_factors!F39</f>
        <v>-0.31162731797304077</v>
      </c>
      <c r="F30" s="47"/>
      <c r="G30" s="48"/>
      <c r="H30" s="49"/>
      <c r="I30" s="47"/>
      <c r="J30" s="369" t="s">
        <v>503</v>
      </c>
      <c r="K30" s="376"/>
      <c r="L30" s="376"/>
      <c r="M30" s="376"/>
      <c r="N30" s="376"/>
      <c r="O30" s="376"/>
      <c r="P30" s="377"/>
      <c r="Q30" s="2"/>
      <c r="R30" s="2"/>
      <c r="S30" s="2"/>
      <c r="T30" s="2"/>
      <c r="U30" s="2"/>
      <c r="V30" s="2"/>
      <c r="W30" s="2"/>
      <c r="X30" s="2"/>
      <c r="Y30" s="2"/>
    </row>
    <row r="31" spans="1:25" x14ac:dyDescent="0.25">
      <c r="A31" s="2"/>
      <c r="B31" s="18">
        <f t="shared" si="0"/>
        <v>7</v>
      </c>
      <c r="C31" s="44" t="s">
        <v>463</v>
      </c>
      <c r="D31" s="45"/>
      <c r="E31" s="99">
        <f>Separation_factors!E43</f>
        <v>0.77</v>
      </c>
      <c r="F31" s="47"/>
      <c r="G31" s="48"/>
      <c r="H31" s="49"/>
      <c r="I31" s="47"/>
      <c r="J31" s="369" t="s">
        <v>504</v>
      </c>
      <c r="K31" s="376"/>
      <c r="L31" s="376"/>
      <c r="M31" s="376"/>
      <c r="N31" s="376"/>
      <c r="O31" s="376"/>
      <c r="P31" s="377"/>
      <c r="Q31" s="2"/>
      <c r="R31" s="2"/>
      <c r="S31" s="2"/>
      <c r="T31" s="2"/>
      <c r="U31" s="2"/>
      <c r="V31" s="2"/>
      <c r="W31" s="2"/>
      <c r="X31" s="2"/>
      <c r="Y31" s="2"/>
    </row>
    <row r="32" spans="1:25" x14ac:dyDescent="0.25">
      <c r="A32" s="2"/>
      <c r="B32" s="18">
        <f t="shared" si="0"/>
        <v>11</v>
      </c>
      <c r="C32" s="44" t="s">
        <v>689</v>
      </c>
      <c r="D32" s="45"/>
      <c r="E32" s="99">
        <f>Separation_factors!B22</f>
        <v>1.4</v>
      </c>
      <c r="F32" s="47"/>
      <c r="G32" s="48"/>
      <c r="H32" s="49"/>
      <c r="I32" s="47">
        <v>8</v>
      </c>
      <c r="J32" s="369" t="s">
        <v>734</v>
      </c>
      <c r="K32" s="376"/>
      <c r="L32" s="376"/>
      <c r="M32" s="376"/>
      <c r="N32" s="376"/>
      <c r="O32" s="376"/>
      <c r="P32" s="377"/>
      <c r="Q32" s="2"/>
      <c r="R32" s="2"/>
      <c r="S32" s="2"/>
      <c r="T32" s="2"/>
      <c r="U32" s="2"/>
      <c r="V32" s="2"/>
      <c r="W32" s="2"/>
      <c r="X32" s="2"/>
      <c r="Y32" s="2"/>
    </row>
    <row r="33" spans="1:25" x14ac:dyDescent="0.25">
      <c r="A33" s="2"/>
      <c r="B33" s="18">
        <f t="shared" si="0"/>
        <v>11</v>
      </c>
      <c r="C33" s="44" t="s">
        <v>691</v>
      </c>
      <c r="D33" s="45"/>
      <c r="E33" s="99">
        <f>Separation_factors!B21</f>
        <v>2</v>
      </c>
      <c r="F33" s="47"/>
      <c r="G33" s="48"/>
      <c r="H33" s="49"/>
      <c r="I33" s="47">
        <v>8</v>
      </c>
      <c r="J33" s="369" t="s">
        <v>735</v>
      </c>
      <c r="K33" s="376"/>
      <c r="L33" s="376"/>
      <c r="M33" s="376"/>
      <c r="N33" s="376"/>
      <c r="O33" s="376"/>
      <c r="P33" s="377"/>
      <c r="Q33" s="2"/>
      <c r="R33" s="2"/>
      <c r="S33" s="2"/>
      <c r="T33" s="2"/>
      <c r="U33" s="2"/>
      <c r="V33" s="2"/>
      <c r="W33" s="2"/>
      <c r="X33" s="2"/>
      <c r="Y33" s="2"/>
    </row>
    <row r="34" spans="1:25" x14ac:dyDescent="0.25">
      <c r="A34" s="2"/>
      <c r="B34" s="18">
        <f t="shared" si="0"/>
        <v>12</v>
      </c>
      <c r="C34" s="44" t="s">
        <v>426</v>
      </c>
      <c r="D34" s="45"/>
      <c r="E34" s="99">
        <f>Separation_factors!C5</f>
        <v>2.14</v>
      </c>
      <c r="F34" s="47"/>
      <c r="G34" s="48"/>
      <c r="H34" s="49"/>
      <c r="I34" s="47">
        <v>9</v>
      </c>
      <c r="J34" s="369" t="s">
        <v>736</v>
      </c>
      <c r="K34" s="376"/>
      <c r="L34" s="376"/>
      <c r="M34" s="376"/>
      <c r="N34" s="376"/>
      <c r="O34" s="376"/>
      <c r="P34" s="377"/>
      <c r="Q34" s="2"/>
      <c r="R34" s="2"/>
      <c r="S34" s="2"/>
      <c r="T34" s="2"/>
      <c r="U34" s="2"/>
      <c r="V34" s="2"/>
      <c r="W34" s="2"/>
      <c r="X34" s="2"/>
      <c r="Y34" s="2"/>
    </row>
    <row r="35" spans="1:25" x14ac:dyDescent="0.25">
      <c r="A35" s="2"/>
      <c r="B35" s="18">
        <f t="shared" si="0"/>
        <v>12</v>
      </c>
      <c r="C35" s="44" t="s">
        <v>427</v>
      </c>
      <c r="D35" s="45"/>
      <c r="E35" s="99">
        <f>Separation_factors!D6</f>
        <v>1.07</v>
      </c>
      <c r="F35" s="47"/>
      <c r="G35" s="48"/>
      <c r="H35" s="49"/>
      <c r="I35" s="47">
        <v>9</v>
      </c>
      <c r="J35" s="369" t="s">
        <v>737</v>
      </c>
      <c r="K35" s="376"/>
      <c r="L35" s="376"/>
      <c r="M35" s="376"/>
      <c r="N35" s="376"/>
      <c r="O35" s="376"/>
      <c r="P35" s="377"/>
      <c r="Q35" s="2"/>
      <c r="R35" s="2"/>
      <c r="S35" s="2"/>
      <c r="T35" s="2"/>
      <c r="U35" s="2"/>
      <c r="V35" s="2"/>
      <c r="W35" s="2"/>
      <c r="X35" s="2"/>
      <c r="Y35" s="2"/>
    </row>
    <row r="36" spans="1:25" x14ac:dyDescent="0.25">
      <c r="A36" s="2"/>
      <c r="B36" s="18">
        <f t="shared" si="0"/>
        <v>12</v>
      </c>
      <c r="C36" s="44" t="s">
        <v>428</v>
      </c>
      <c r="D36" s="45"/>
      <c r="E36" s="99">
        <f>Separation_factors!E7</f>
        <v>1.06</v>
      </c>
      <c r="F36" s="47"/>
      <c r="G36" s="48"/>
      <c r="H36" s="49"/>
      <c r="I36" s="47">
        <v>9</v>
      </c>
      <c r="J36" s="369" t="s">
        <v>738</v>
      </c>
      <c r="K36" s="376"/>
      <c r="L36" s="376"/>
      <c r="M36" s="376"/>
      <c r="N36" s="376"/>
      <c r="O36" s="376"/>
      <c r="P36" s="377"/>
      <c r="Q36" s="2"/>
      <c r="R36" s="2"/>
      <c r="S36" s="2"/>
      <c r="T36" s="2"/>
      <c r="U36" s="2"/>
      <c r="V36" s="2"/>
      <c r="W36" s="2"/>
      <c r="X36" s="2"/>
      <c r="Y36" s="2"/>
    </row>
    <row r="37" spans="1:25" x14ac:dyDescent="0.25">
      <c r="A37" s="2"/>
      <c r="B37" s="18">
        <f t="shared" si="0"/>
        <v>12</v>
      </c>
      <c r="C37" s="44" t="s">
        <v>429</v>
      </c>
      <c r="D37" s="45"/>
      <c r="E37" s="99">
        <f>Separation_factors!F8</f>
        <v>4.8600000000000003</v>
      </c>
      <c r="F37" s="47"/>
      <c r="G37" s="48"/>
      <c r="H37" s="49"/>
      <c r="I37" s="47">
        <v>9</v>
      </c>
      <c r="J37" s="369" t="s">
        <v>739</v>
      </c>
      <c r="K37" s="376"/>
      <c r="L37" s="376"/>
      <c r="M37" s="376"/>
      <c r="N37" s="376"/>
      <c r="O37" s="376"/>
      <c r="P37" s="377"/>
      <c r="Q37" s="2"/>
      <c r="R37" s="2"/>
      <c r="S37" s="2"/>
      <c r="T37" s="2"/>
      <c r="U37" s="2"/>
      <c r="V37" s="2"/>
      <c r="W37" s="2"/>
      <c r="X37" s="2"/>
      <c r="Y37" s="2"/>
    </row>
    <row r="38" spans="1:25" x14ac:dyDescent="0.25">
      <c r="A38" s="2"/>
      <c r="B38" s="18">
        <f t="shared" si="0"/>
        <v>12</v>
      </c>
      <c r="C38" s="44" t="s">
        <v>447</v>
      </c>
      <c r="D38" s="45"/>
      <c r="E38" s="99">
        <f>Separation_factors!G9</f>
        <v>2.23</v>
      </c>
      <c r="F38" s="47"/>
      <c r="G38" s="48"/>
      <c r="H38" s="49"/>
      <c r="I38" s="47">
        <v>9</v>
      </c>
      <c r="J38" s="369" t="s">
        <v>740</v>
      </c>
      <c r="K38" s="376"/>
      <c r="L38" s="376"/>
      <c r="M38" s="376"/>
      <c r="N38" s="376"/>
      <c r="O38" s="376"/>
      <c r="P38" s="377"/>
      <c r="Q38" s="2"/>
      <c r="R38" s="2"/>
      <c r="S38" s="2"/>
      <c r="T38" s="2"/>
      <c r="U38" s="2"/>
      <c r="V38" s="2"/>
      <c r="W38" s="2"/>
      <c r="X38" s="2"/>
      <c r="Y38" s="2"/>
    </row>
    <row r="39" spans="1:25" x14ac:dyDescent="0.25">
      <c r="A39" s="2"/>
      <c r="B39" s="18">
        <f t="shared" si="0"/>
        <v>12</v>
      </c>
      <c r="C39" s="44" t="s">
        <v>448</v>
      </c>
      <c r="D39" s="45"/>
      <c r="E39" s="99">
        <f>Separation_factors!H10</f>
        <v>1.69</v>
      </c>
      <c r="F39" s="47"/>
      <c r="G39" s="48"/>
      <c r="H39" s="49"/>
      <c r="I39" s="47">
        <v>9</v>
      </c>
      <c r="J39" s="369" t="s">
        <v>741</v>
      </c>
      <c r="K39" s="376"/>
      <c r="L39" s="376"/>
      <c r="M39" s="376"/>
      <c r="N39" s="376"/>
      <c r="O39" s="376"/>
      <c r="P39" s="377"/>
      <c r="Q39" s="2"/>
      <c r="R39" s="2"/>
      <c r="S39" s="2"/>
      <c r="T39" s="2"/>
      <c r="U39" s="2"/>
      <c r="V39" s="2"/>
      <c r="W39" s="2"/>
      <c r="X39" s="2"/>
      <c r="Y39" s="2"/>
    </row>
    <row r="40" spans="1:25" x14ac:dyDescent="0.25">
      <c r="A40" s="2"/>
      <c r="B40" s="18">
        <f t="shared" si="0"/>
        <v>12</v>
      </c>
      <c r="C40" s="44" t="s">
        <v>449</v>
      </c>
      <c r="D40" s="45"/>
      <c r="E40" s="99">
        <f>Separation_factors!I11</f>
        <v>1.6</v>
      </c>
      <c r="F40" s="47"/>
      <c r="G40" s="48"/>
      <c r="H40" s="49"/>
      <c r="I40" s="47">
        <v>9</v>
      </c>
      <c r="J40" s="369" t="s">
        <v>742</v>
      </c>
      <c r="K40" s="376"/>
      <c r="L40" s="376"/>
      <c r="M40" s="376"/>
      <c r="N40" s="376"/>
      <c r="O40" s="376"/>
      <c r="P40" s="377"/>
      <c r="Q40" s="2"/>
      <c r="R40" s="2"/>
      <c r="S40" s="2"/>
      <c r="T40" s="2"/>
      <c r="U40" s="2"/>
      <c r="V40" s="2"/>
      <c r="W40" s="2"/>
      <c r="X40" s="2"/>
      <c r="Y40" s="2"/>
    </row>
    <row r="41" spans="1:25" x14ac:dyDescent="0.25">
      <c r="A41" s="2"/>
      <c r="B41" s="18">
        <f t="shared" si="0"/>
        <v>12</v>
      </c>
      <c r="C41" s="44" t="s">
        <v>450</v>
      </c>
      <c r="D41" s="45"/>
      <c r="E41" s="99">
        <f>Separation_factors!J12</f>
        <v>1.42</v>
      </c>
      <c r="F41" s="47"/>
      <c r="G41" s="48"/>
      <c r="H41" s="49"/>
      <c r="I41" s="47">
        <v>9</v>
      </c>
      <c r="J41" s="369" t="s">
        <v>743</v>
      </c>
      <c r="K41" s="376"/>
      <c r="L41" s="376"/>
      <c r="M41" s="376"/>
      <c r="N41" s="376"/>
      <c r="O41" s="376"/>
      <c r="P41" s="377"/>
      <c r="Q41" s="2"/>
      <c r="R41" s="2"/>
      <c r="S41" s="2"/>
      <c r="T41" s="2"/>
      <c r="U41" s="2"/>
      <c r="V41" s="2"/>
      <c r="W41" s="2"/>
      <c r="X41" s="2"/>
      <c r="Y41" s="2"/>
    </row>
    <row r="42" spans="1:25" x14ac:dyDescent="0.25">
      <c r="A42" s="2"/>
      <c r="B42" s="18">
        <f t="shared" si="0"/>
        <v>12</v>
      </c>
      <c r="C42" s="44" t="s">
        <v>451</v>
      </c>
      <c r="D42" s="45"/>
      <c r="E42" s="99">
        <f>Separation_factors!K13</f>
        <v>1.24</v>
      </c>
      <c r="F42" s="47"/>
      <c r="G42" s="48"/>
      <c r="H42" s="49"/>
      <c r="I42" s="47">
        <v>9</v>
      </c>
      <c r="J42" s="369" t="s">
        <v>744</v>
      </c>
      <c r="K42" s="376"/>
      <c r="L42" s="376"/>
      <c r="M42" s="376"/>
      <c r="N42" s="376"/>
      <c r="O42" s="376"/>
      <c r="P42" s="377"/>
      <c r="Q42" s="2"/>
      <c r="R42" s="2"/>
      <c r="S42" s="2"/>
      <c r="T42" s="2"/>
      <c r="U42" s="2"/>
      <c r="V42" s="2"/>
      <c r="W42" s="2"/>
      <c r="X42" s="2"/>
      <c r="Y42" s="2"/>
    </row>
    <row r="43" spans="1:25" x14ac:dyDescent="0.25">
      <c r="A43" s="2"/>
      <c r="B43" s="18">
        <f t="shared" si="0"/>
        <v>12</v>
      </c>
      <c r="C43" s="44" t="s">
        <v>452</v>
      </c>
      <c r="D43" s="45"/>
      <c r="E43" s="99">
        <f>Separation_factors!L14</f>
        <v>1.7</v>
      </c>
      <c r="F43" s="47"/>
      <c r="G43" s="48"/>
      <c r="H43" s="49"/>
      <c r="I43" s="47">
        <v>9</v>
      </c>
      <c r="J43" s="369" t="s">
        <v>745</v>
      </c>
      <c r="K43" s="376"/>
      <c r="L43" s="376"/>
      <c r="M43" s="376"/>
      <c r="N43" s="376"/>
      <c r="O43" s="376"/>
      <c r="P43" s="377"/>
      <c r="Q43" s="2"/>
      <c r="R43" s="2"/>
      <c r="S43" s="2"/>
      <c r="T43" s="2"/>
      <c r="U43" s="2"/>
      <c r="V43" s="2"/>
      <c r="W43" s="2"/>
      <c r="X43" s="2"/>
      <c r="Y43" s="2"/>
    </row>
    <row r="44" spans="1:25" x14ac:dyDescent="0.25">
      <c r="A44" s="2"/>
      <c r="B44" s="18">
        <f t="shared" si="0"/>
        <v>12</v>
      </c>
      <c r="C44" s="44" t="s">
        <v>453</v>
      </c>
      <c r="D44" s="45"/>
      <c r="E44" s="99">
        <f>Separation_factors!M15</f>
        <v>1.5</v>
      </c>
      <c r="F44" s="47"/>
      <c r="G44" s="48"/>
      <c r="H44" s="49"/>
      <c r="I44" s="47">
        <v>9</v>
      </c>
      <c r="J44" s="369" t="s">
        <v>746</v>
      </c>
      <c r="K44" s="376"/>
      <c r="L44" s="376"/>
      <c r="M44" s="376"/>
      <c r="N44" s="376"/>
      <c r="O44" s="376"/>
      <c r="P44" s="377"/>
      <c r="Q44" s="2"/>
      <c r="R44" s="2"/>
      <c r="S44" s="2"/>
      <c r="T44" s="2"/>
      <c r="U44" s="2"/>
      <c r="V44" s="2"/>
      <c r="W44" s="2"/>
      <c r="X44" s="2"/>
      <c r="Y44" s="2"/>
    </row>
    <row r="45" spans="1:25" x14ac:dyDescent="0.25">
      <c r="A45" s="2"/>
      <c r="B45" s="18">
        <f t="shared" si="0"/>
        <v>12</v>
      </c>
      <c r="C45" s="44" t="s">
        <v>454</v>
      </c>
      <c r="D45" s="45"/>
      <c r="E45" s="99">
        <f>Separation_factors!N16</f>
        <v>1.3</v>
      </c>
      <c r="F45" s="47"/>
      <c r="G45" s="48"/>
      <c r="H45" s="49"/>
      <c r="I45" s="47">
        <v>9</v>
      </c>
      <c r="J45" s="369" t="s">
        <v>747</v>
      </c>
      <c r="K45" s="376"/>
      <c r="L45" s="376"/>
      <c r="M45" s="376"/>
      <c r="N45" s="376"/>
      <c r="O45" s="376"/>
      <c r="P45" s="377"/>
      <c r="Q45" s="2"/>
      <c r="R45" s="2"/>
      <c r="S45" s="2"/>
      <c r="T45" s="2"/>
      <c r="U45" s="2"/>
      <c r="V45" s="2"/>
      <c r="W45" s="2"/>
      <c r="X45" s="2"/>
      <c r="Y45" s="2"/>
    </row>
    <row r="46" spans="1:25" x14ac:dyDescent="0.25">
      <c r="A46" s="2"/>
      <c r="B46" s="18">
        <f t="shared" si="0"/>
        <v>12</v>
      </c>
      <c r="C46" s="44" t="s">
        <v>688</v>
      </c>
      <c r="D46" s="45"/>
      <c r="E46" s="99">
        <f>Separation_factors!O17</f>
        <v>1.03</v>
      </c>
      <c r="F46" s="47"/>
      <c r="G46" s="48"/>
      <c r="H46" s="49"/>
      <c r="I46" s="47">
        <v>9</v>
      </c>
      <c r="J46" s="369" t="s">
        <v>748</v>
      </c>
      <c r="K46" s="376"/>
      <c r="L46" s="376"/>
      <c r="M46" s="376"/>
      <c r="N46" s="376"/>
      <c r="O46" s="376"/>
      <c r="P46" s="377"/>
      <c r="Q46" s="2"/>
      <c r="R46" s="2"/>
      <c r="S46" s="2"/>
      <c r="T46" s="2"/>
      <c r="U46" s="2"/>
      <c r="V46" s="2"/>
      <c r="W46" s="2"/>
      <c r="X46" s="2"/>
      <c r="Y46" s="2"/>
    </row>
    <row r="47" spans="1:25" x14ac:dyDescent="0.25">
      <c r="A47" s="2"/>
      <c r="B47" s="18">
        <f t="shared" si="0"/>
        <v>14</v>
      </c>
      <c r="C47" s="44" t="s">
        <v>455</v>
      </c>
      <c r="D47" s="45"/>
      <c r="E47" s="99">
        <v>1</v>
      </c>
      <c r="F47" s="47">
        <v>0</v>
      </c>
      <c r="G47" s="48">
        <v>1</v>
      </c>
      <c r="H47" s="49"/>
      <c r="I47" s="47"/>
      <c r="J47" s="369" t="s">
        <v>456</v>
      </c>
      <c r="K47" s="376"/>
      <c r="L47" s="376"/>
      <c r="M47" s="376"/>
      <c r="N47" s="376"/>
      <c r="O47" s="376"/>
      <c r="P47" s="377"/>
      <c r="Q47" s="2"/>
      <c r="R47" s="2"/>
      <c r="S47" s="2"/>
      <c r="T47" s="2"/>
      <c r="U47" s="2"/>
      <c r="V47" s="2"/>
      <c r="W47" s="2"/>
      <c r="X47" s="2"/>
      <c r="Y47" s="2"/>
    </row>
    <row r="48" spans="1:25" ht="26.25" x14ac:dyDescent="0.25">
      <c r="A48" s="2"/>
      <c r="B48" s="18">
        <f t="shared" si="0"/>
        <v>13</v>
      </c>
      <c r="C48" s="44" t="str">
        <f>concentrate_composition!J19&amp;"_ext_stages"</f>
        <v>Ce_ext_stages</v>
      </c>
      <c r="D48" s="45" t="s">
        <v>464</v>
      </c>
      <c r="E48" s="99">
        <f>E66*($E$29*((E34-1)^$E$30+(E35-1)^$E$30)+2*$E$31)</f>
        <v>22.3953843418095</v>
      </c>
      <c r="F48" s="47"/>
      <c r="G48" s="48"/>
      <c r="H48" s="49"/>
      <c r="I48" s="47" t="s">
        <v>713</v>
      </c>
      <c r="J48" s="369" t="s">
        <v>505</v>
      </c>
      <c r="K48" s="376"/>
      <c r="L48" s="376"/>
      <c r="M48" s="376"/>
      <c r="N48" s="376"/>
      <c r="O48" s="376"/>
      <c r="P48" s="377"/>
      <c r="Q48" s="2"/>
      <c r="R48" s="2"/>
      <c r="S48" s="2"/>
      <c r="T48" s="2"/>
      <c r="U48" s="2"/>
      <c r="V48" s="2"/>
      <c r="W48" s="2"/>
      <c r="X48" s="2"/>
      <c r="Y48" s="2"/>
    </row>
    <row r="49" spans="1:25" x14ac:dyDescent="0.25">
      <c r="A49" s="2"/>
      <c r="B49" s="18">
        <f t="shared" si="0"/>
        <v>13</v>
      </c>
      <c r="C49" s="44" t="str">
        <f>concentrate_composition!J20&amp;"_ext_stages"</f>
        <v>La_ext_stages</v>
      </c>
      <c r="D49" s="45" t="s">
        <v>726</v>
      </c>
      <c r="E49" s="99">
        <f>E79*($E$29*((E34-1)^$E$30)+1*$E$31)</f>
        <v>0</v>
      </c>
      <c r="F49" s="47"/>
      <c r="G49" s="48"/>
      <c r="H49" s="49"/>
      <c r="I49" s="47" t="s">
        <v>713</v>
      </c>
      <c r="J49" s="369" t="s">
        <v>506</v>
      </c>
      <c r="K49" s="376"/>
      <c r="L49" s="376"/>
      <c r="M49" s="376"/>
      <c r="N49" s="376"/>
      <c r="O49" s="376"/>
      <c r="P49" s="377"/>
      <c r="Q49" s="2"/>
      <c r="R49" s="2"/>
      <c r="S49" s="2"/>
      <c r="T49" s="2"/>
      <c r="U49" s="2"/>
      <c r="V49" s="2"/>
      <c r="W49" s="2"/>
      <c r="X49" s="2"/>
      <c r="Y49" s="2"/>
    </row>
    <row r="50" spans="1:25" ht="26.25" x14ac:dyDescent="0.25">
      <c r="A50" s="2"/>
      <c r="B50" s="18">
        <f t="shared" si="0"/>
        <v>13</v>
      </c>
      <c r="C50" s="44" t="str">
        <f>concentrate_composition!J21&amp;"_ext_stages"</f>
        <v>Pr_ext_stages</v>
      </c>
      <c r="D50" s="45" t="s">
        <v>465</v>
      </c>
      <c r="E50" s="99">
        <f t="shared" ref="E50:E56" si="1">E68*($E$29*((E35-1)^$E$30+(E36-1)^$E$30)+2*$E$31)</f>
        <v>0</v>
      </c>
      <c r="F50" s="47"/>
      <c r="G50" s="48"/>
      <c r="H50" s="49"/>
      <c r="I50" s="47" t="s">
        <v>713</v>
      </c>
      <c r="J50" s="369" t="s">
        <v>507</v>
      </c>
      <c r="K50" s="376"/>
      <c r="L50" s="376"/>
      <c r="M50" s="376"/>
      <c r="N50" s="376"/>
      <c r="O50" s="376"/>
      <c r="P50" s="377"/>
      <c r="Q50" s="2"/>
      <c r="R50" s="2"/>
      <c r="S50" s="2"/>
      <c r="T50" s="2"/>
      <c r="U50" s="2"/>
      <c r="V50" s="2"/>
      <c r="W50" s="2"/>
      <c r="X50" s="2"/>
      <c r="Y50" s="2"/>
    </row>
    <row r="51" spans="1:25" ht="26.25" x14ac:dyDescent="0.25">
      <c r="A51" s="2"/>
      <c r="B51" s="18">
        <f t="shared" si="0"/>
        <v>13</v>
      </c>
      <c r="C51" s="44" t="str">
        <f>concentrate_composition!J22&amp;"_ext_stages"</f>
        <v>Nd_ext_stages</v>
      </c>
      <c r="D51" s="45" t="s">
        <v>466</v>
      </c>
      <c r="E51" s="99">
        <f t="shared" si="1"/>
        <v>0</v>
      </c>
      <c r="F51" s="47"/>
      <c r="G51" s="48"/>
      <c r="H51" s="49"/>
      <c r="I51" s="47" t="s">
        <v>713</v>
      </c>
      <c r="J51" s="369" t="s">
        <v>508</v>
      </c>
      <c r="K51" s="376"/>
      <c r="L51" s="376"/>
      <c r="M51" s="376"/>
      <c r="N51" s="376"/>
      <c r="O51" s="376"/>
      <c r="P51" s="377"/>
      <c r="Q51" s="2"/>
      <c r="R51" s="2"/>
      <c r="S51" s="2"/>
      <c r="T51" s="2"/>
      <c r="U51" s="2"/>
      <c r="V51" s="2"/>
      <c r="W51" s="2"/>
      <c r="X51" s="2"/>
      <c r="Y51" s="2"/>
    </row>
    <row r="52" spans="1:25" ht="26.25" x14ac:dyDescent="0.25">
      <c r="A52" s="2"/>
      <c r="B52" s="18">
        <f t="shared" si="0"/>
        <v>13</v>
      </c>
      <c r="C52" s="44" t="str">
        <f>concentrate_composition!J23&amp;"_ext_stages"</f>
        <v>Sm_ext_stages</v>
      </c>
      <c r="D52" s="45" t="s">
        <v>467</v>
      </c>
      <c r="E52" s="99">
        <f t="shared" si="1"/>
        <v>0</v>
      </c>
      <c r="F52" s="47"/>
      <c r="G52" s="48"/>
      <c r="H52" s="49"/>
      <c r="I52" s="47" t="s">
        <v>713</v>
      </c>
      <c r="J52" s="369" t="s">
        <v>509</v>
      </c>
      <c r="K52" s="376"/>
      <c r="L52" s="376"/>
      <c r="M52" s="376"/>
      <c r="N52" s="376"/>
      <c r="O52" s="376"/>
      <c r="P52" s="377"/>
      <c r="Q52" s="2"/>
      <c r="R52" s="2"/>
      <c r="S52" s="2"/>
      <c r="T52" s="2"/>
      <c r="U52" s="2"/>
      <c r="V52" s="2"/>
      <c r="W52" s="2"/>
      <c r="X52" s="2"/>
      <c r="Y52" s="2"/>
    </row>
    <row r="53" spans="1:25" ht="26.25" x14ac:dyDescent="0.25">
      <c r="A53" s="2"/>
      <c r="B53" s="18">
        <f t="shared" si="0"/>
        <v>13</v>
      </c>
      <c r="C53" s="44" t="str">
        <f>concentrate_composition!J24&amp;"_ext_stages"</f>
        <v>Eu_ext_stages</v>
      </c>
      <c r="D53" s="45" t="s">
        <v>468</v>
      </c>
      <c r="E53" s="99">
        <f t="shared" si="1"/>
        <v>0</v>
      </c>
      <c r="F53" s="47"/>
      <c r="G53" s="48"/>
      <c r="H53" s="49"/>
      <c r="I53" s="47" t="s">
        <v>713</v>
      </c>
      <c r="J53" s="369" t="s">
        <v>510</v>
      </c>
      <c r="K53" s="376"/>
      <c r="L53" s="376"/>
      <c r="M53" s="376"/>
      <c r="N53" s="376"/>
      <c r="O53" s="376"/>
      <c r="P53" s="377"/>
      <c r="Q53" s="2"/>
      <c r="R53" s="2"/>
      <c r="S53" s="2"/>
      <c r="T53" s="2"/>
      <c r="U53" s="2"/>
      <c r="V53" s="2"/>
      <c r="W53" s="2"/>
      <c r="X53" s="2"/>
      <c r="Y53" s="2"/>
    </row>
    <row r="54" spans="1:25" ht="26.25" x14ac:dyDescent="0.25">
      <c r="A54" s="2"/>
      <c r="B54" s="18">
        <f t="shared" si="0"/>
        <v>13</v>
      </c>
      <c r="C54" s="44" t="str">
        <f>concentrate_composition!J25&amp;"_ext_stages"</f>
        <v>Gd_ext_stages</v>
      </c>
      <c r="D54" s="45" t="s">
        <v>469</v>
      </c>
      <c r="E54" s="99">
        <f t="shared" si="1"/>
        <v>0</v>
      </c>
      <c r="F54" s="47"/>
      <c r="G54" s="48"/>
      <c r="H54" s="49"/>
      <c r="I54" s="47" t="s">
        <v>713</v>
      </c>
      <c r="J54" s="369" t="s">
        <v>511</v>
      </c>
      <c r="K54" s="376"/>
      <c r="L54" s="376"/>
      <c r="M54" s="376"/>
      <c r="N54" s="376"/>
      <c r="O54" s="376"/>
      <c r="P54" s="377"/>
      <c r="Q54" s="2"/>
      <c r="R54" s="2"/>
      <c r="S54" s="2"/>
      <c r="T54" s="2"/>
      <c r="U54" s="2"/>
      <c r="V54" s="2"/>
      <c r="W54" s="2"/>
      <c r="X54" s="2"/>
      <c r="Y54" s="2"/>
    </row>
    <row r="55" spans="1:25" ht="26.25" x14ac:dyDescent="0.25">
      <c r="A55" s="2"/>
      <c r="B55" s="18">
        <f t="shared" si="0"/>
        <v>13</v>
      </c>
      <c r="C55" s="44" t="str">
        <f>concentrate_composition!J26&amp;"_ext_stages"</f>
        <v>Tb_ext_stages</v>
      </c>
      <c r="D55" s="45" t="s">
        <v>470</v>
      </c>
      <c r="E55" s="99">
        <f t="shared" si="1"/>
        <v>0</v>
      </c>
      <c r="F55" s="47"/>
      <c r="G55" s="48"/>
      <c r="H55" s="49"/>
      <c r="I55" s="47" t="s">
        <v>713</v>
      </c>
      <c r="J55" s="369" t="s">
        <v>512</v>
      </c>
      <c r="K55" s="376"/>
      <c r="L55" s="376"/>
      <c r="M55" s="376"/>
      <c r="N55" s="376"/>
      <c r="O55" s="376"/>
      <c r="P55" s="377"/>
      <c r="Q55" s="2"/>
      <c r="R55" s="2"/>
      <c r="S55" s="2"/>
      <c r="T55" s="2"/>
      <c r="U55" s="2"/>
      <c r="V55" s="2"/>
      <c r="W55" s="2"/>
      <c r="X55" s="2"/>
      <c r="Y55" s="2"/>
    </row>
    <row r="56" spans="1:25" ht="26.25" x14ac:dyDescent="0.25">
      <c r="A56" s="2"/>
      <c r="B56" s="18">
        <f t="shared" si="0"/>
        <v>13</v>
      </c>
      <c r="C56" s="44" t="str">
        <f>concentrate_composition!J27&amp;"_ext_stages"</f>
        <v>Dy_ext_stages</v>
      </c>
      <c r="D56" s="45" t="s">
        <v>471</v>
      </c>
      <c r="E56" s="99">
        <f t="shared" si="1"/>
        <v>0</v>
      </c>
      <c r="F56" s="47"/>
      <c r="G56" s="48"/>
      <c r="H56" s="49"/>
      <c r="I56" s="47" t="s">
        <v>713</v>
      </c>
      <c r="J56" s="369" t="s">
        <v>513</v>
      </c>
      <c r="K56" s="376"/>
      <c r="L56" s="376"/>
      <c r="M56" s="376"/>
      <c r="N56" s="376"/>
      <c r="O56" s="376"/>
      <c r="P56" s="377"/>
      <c r="Q56" s="2"/>
      <c r="R56" s="2"/>
      <c r="S56" s="2"/>
      <c r="T56" s="2"/>
      <c r="U56" s="2"/>
      <c r="V56" s="2"/>
      <c r="W56" s="2"/>
      <c r="X56" s="2"/>
      <c r="Y56" s="2"/>
    </row>
    <row r="57" spans="1:25" ht="26.25" x14ac:dyDescent="0.25">
      <c r="A57" s="2"/>
      <c r="B57" s="18">
        <f t="shared" si="0"/>
        <v>13</v>
      </c>
      <c r="C57" s="44" t="str">
        <f>concentrate_composition!J28&amp;"_ext_stages"</f>
        <v>Ho_ext_stages</v>
      </c>
      <c r="D57" s="45" t="s">
        <v>693</v>
      </c>
      <c r="E57" s="99">
        <f>E75*($E$29*((E42-1)^$E$30+(E33-1)^$E$30)+2*$E$31)</f>
        <v>0</v>
      </c>
      <c r="F57" s="47"/>
      <c r="G57" s="48"/>
      <c r="H57" s="49"/>
      <c r="I57" s="47" t="s">
        <v>713</v>
      </c>
      <c r="J57" s="369" t="s">
        <v>514</v>
      </c>
      <c r="K57" s="376"/>
      <c r="L57" s="376"/>
      <c r="M57" s="376"/>
      <c r="N57" s="376"/>
      <c r="O57" s="376"/>
      <c r="P57" s="377"/>
      <c r="Q57" s="2"/>
      <c r="R57" s="2"/>
      <c r="S57" s="2"/>
      <c r="T57" s="2"/>
      <c r="U57" s="2"/>
      <c r="V57" s="2"/>
      <c r="W57" s="2"/>
      <c r="X57" s="2"/>
      <c r="Y57" s="2"/>
    </row>
    <row r="58" spans="1:25" ht="26.25" x14ac:dyDescent="0.25">
      <c r="A58" s="2"/>
      <c r="B58" s="18">
        <f t="shared" si="0"/>
        <v>13</v>
      </c>
      <c r="C58" s="44" t="str">
        <f>concentrate_composition!J29&amp;"_ext_stages"</f>
        <v>Er_ext_stages</v>
      </c>
      <c r="D58" s="45" t="s">
        <v>692</v>
      </c>
      <c r="E58" s="99">
        <f>E76*($E$29*((E32-1)^$E$30+(E44-1)^$E$30)+2*$E$31)</f>
        <v>0</v>
      </c>
      <c r="F58" s="47"/>
      <c r="G58" s="48"/>
      <c r="H58" s="49"/>
      <c r="I58" s="47" t="s">
        <v>713</v>
      </c>
      <c r="J58" s="369" t="s">
        <v>515</v>
      </c>
      <c r="K58" s="376"/>
      <c r="L58" s="376"/>
      <c r="M58" s="376"/>
      <c r="N58" s="376"/>
      <c r="O58" s="376"/>
      <c r="P58" s="377"/>
      <c r="Q58" s="2"/>
      <c r="R58" s="2"/>
      <c r="S58" s="2"/>
      <c r="T58" s="2"/>
      <c r="U58" s="2"/>
      <c r="V58" s="2"/>
      <c r="W58" s="2"/>
      <c r="X58" s="2"/>
      <c r="Y58" s="2"/>
    </row>
    <row r="59" spans="1:25" ht="26.25" x14ac:dyDescent="0.25">
      <c r="A59" s="2"/>
      <c r="B59" s="18">
        <f t="shared" si="0"/>
        <v>13</v>
      </c>
      <c r="C59" s="44" t="str">
        <f>concentrate_composition!J30&amp;"_ext_stages"</f>
        <v>Tm_ext_stages</v>
      </c>
      <c r="D59" s="45" t="s">
        <v>472</v>
      </c>
      <c r="E59" s="99">
        <f t="shared" ref="E59:E60" si="2">E77*($E$29*((E44-1)^$E$30+(E45-1)^$E$30)+2*$E$31)</f>
        <v>0</v>
      </c>
      <c r="F59" s="47"/>
      <c r="G59" s="48"/>
      <c r="H59" s="49"/>
      <c r="I59" s="47" t="s">
        <v>713</v>
      </c>
      <c r="J59" s="369" t="s">
        <v>516</v>
      </c>
      <c r="K59" s="376"/>
      <c r="L59" s="376"/>
      <c r="M59" s="376"/>
      <c r="N59" s="376"/>
      <c r="O59" s="376"/>
      <c r="P59" s="377"/>
      <c r="Q59" s="2"/>
      <c r="R59" s="2"/>
      <c r="S59" s="2"/>
      <c r="T59" s="2"/>
      <c r="U59" s="2"/>
      <c r="V59" s="2"/>
      <c r="W59" s="2"/>
      <c r="X59" s="2"/>
      <c r="Y59" s="2"/>
    </row>
    <row r="60" spans="1:25" ht="26.25" x14ac:dyDescent="0.25">
      <c r="A60" s="2"/>
      <c r="B60" s="18">
        <f t="shared" si="0"/>
        <v>13</v>
      </c>
      <c r="C60" s="44" t="str">
        <f>concentrate_composition!J31&amp;"_ext_stages"</f>
        <v>Yb_ext_stages</v>
      </c>
      <c r="D60" s="45" t="s">
        <v>727</v>
      </c>
      <c r="E60" s="99">
        <f t="shared" si="2"/>
        <v>0</v>
      </c>
      <c r="F60" s="47"/>
      <c r="G60" s="48"/>
      <c r="H60" s="49"/>
      <c r="I60" s="47" t="s">
        <v>713</v>
      </c>
      <c r="J60" s="369" t="s">
        <v>517</v>
      </c>
      <c r="K60" s="376"/>
      <c r="L60" s="376"/>
      <c r="M60" s="376"/>
      <c r="N60" s="376"/>
      <c r="O60" s="376"/>
      <c r="P60" s="377"/>
      <c r="Q60" s="2"/>
      <c r="R60" s="2"/>
      <c r="S60" s="2"/>
      <c r="T60" s="2"/>
      <c r="U60" s="2"/>
      <c r="V60" s="2"/>
      <c r="W60" s="2"/>
      <c r="X60" s="2"/>
      <c r="Y60" s="2"/>
    </row>
    <row r="61" spans="1:25" x14ac:dyDescent="0.25">
      <c r="A61" s="2"/>
      <c r="B61" s="18">
        <f t="shared" si="0"/>
        <v>13</v>
      </c>
      <c r="C61" s="44" t="str">
        <f>concentrate_composition!J32&amp;"_ext_stages"</f>
        <v>Lu_ext_stages</v>
      </c>
      <c r="D61" s="45" t="s">
        <v>728</v>
      </c>
      <c r="E61" s="99">
        <f>E79*($E$29*((E46-1)^$E$30)+1*$E$31)</f>
        <v>0</v>
      </c>
      <c r="F61" s="47"/>
      <c r="G61" s="48"/>
      <c r="H61" s="49"/>
      <c r="I61" s="47" t="s">
        <v>713</v>
      </c>
      <c r="J61" s="369" t="s">
        <v>518</v>
      </c>
      <c r="K61" s="376"/>
      <c r="L61" s="376"/>
      <c r="M61" s="376"/>
      <c r="N61" s="376"/>
      <c r="O61" s="376"/>
      <c r="P61" s="377"/>
      <c r="Q61" s="2"/>
      <c r="R61" s="2"/>
      <c r="S61" s="2"/>
      <c r="T61" s="2"/>
      <c r="U61" s="2"/>
      <c r="V61" s="2"/>
      <c r="W61" s="2"/>
      <c r="X61" s="2"/>
      <c r="Y61" s="2"/>
    </row>
    <row r="62" spans="1:25" ht="26.25" x14ac:dyDescent="0.25">
      <c r="A62" s="2"/>
      <c r="B62" s="18">
        <f t="shared" si="0"/>
        <v>12</v>
      </c>
      <c r="C62" s="44" t="str">
        <f>concentrate_composition!J33&amp;"_ext_stages"</f>
        <v>Y_ext_stages</v>
      </c>
      <c r="D62" s="45" t="s">
        <v>729</v>
      </c>
      <c r="E62" s="99">
        <f>E80*($E$29*((E32-1)^$E$30+(E33-1)^$E$30)+2*$E$31)</f>
        <v>0</v>
      </c>
      <c r="F62" s="47"/>
      <c r="G62" s="48"/>
      <c r="H62" s="49"/>
      <c r="I62" s="47" t="s">
        <v>714</v>
      </c>
      <c r="J62" s="369" t="s">
        <v>519</v>
      </c>
      <c r="K62" s="376"/>
      <c r="L62" s="376"/>
      <c r="M62" s="376"/>
      <c r="N62" s="376"/>
      <c r="O62" s="376"/>
      <c r="P62" s="377"/>
      <c r="Q62" s="2"/>
      <c r="R62" s="2"/>
      <c r="S62" s="2"/>
      <c r="T62" s="2"/>
      <c r="U62" s="2"/>
      <c r="V62" s="2"/>
      <c r="W62" s="2"/>
      <c r="X62" s="2"/>
      <c r="Y62" s="2"/>
    </row>
    <row r="63" spans="1:25" ht="64.5" x14ac:dyDescent="0.25">
      <c r="A63" s="2"/>
      <c r="B63" s="18">
        <f t="shared" si="0"/>
        <v>14</v>
      </c>
      <c r="C63" s="44" t="s">
        <v>285</v>
      </c>
      <c r="D63" s="45" t="s">
        <v>459</v>
      </c>
      <c r="E63" s="46">
        <f>ROUND(E47*(E48+E49+E50+E51+E52+E53+E54+E55+E56+E57+E58+E59+E60+E61+E62),0)+(1-E47)*E24</f>
        <v>22</v>
      </c>
      <c r="F63" s="47"/>
      <c r="G63" s="48"/>
      <c r="H63" s="49"/>
      <c r="I63" s="47" t="s">
        <v>715</v>
      </c>
      <c r="J63" s="369" t="s">
        <v>520</v>
      </c>
      <c r="K63" s="376"/>
      <c r="L63" s="376"/>
      <c r="M63" s="376"/>
      <c r="N63" s="376"/>
      <c r="O63" s="376"/>
      <c r="P63" s="377"/>
      <c r="Q63" s="2"/>
      <c r="R63" s="2"/>
      <c r="S63" s="2"/>
      <c r="T63" s="2"/>
      <c r="U63" s="2"/>
      <c r="V63" s="2"/>
      <c r="W63" s="2"/>
      <c r="X63" s="2"/>
      <c r="Y63" s="2"/>
    </row>
    <row r="64" spans="1:25" x14ac:dyDescent="0.25">
      <c r="A64" s="2"/>
      <c r="B64" s="18">
        <f t="shared" si="0"/>
        <v>12</v>
      </c>
      <c r="C64" s="44" t="s">
        <v>460</v>
      </c>
      <c r="D64" s="45" t="s">
        <v>489</v>
      </c>
      <c r="E64" s="46">
        <f>E63+E25+E26</f>
        <v>46</v>
      </c>
      <c r="F64" s="47"/>
      <c r="G64" s="48"/>
      <c r="H64" s="49"/>
      <c r="I64" s="47" t="s">
        <v>715</v>
      </c>
      <c r="J64" s="369" t="s">
        <v>521</v>
      </c>
      <c r="K64" s="376"/>
      <c r="L64" s="376"/>
      <c r="M64" s="376"/>
      <c r="N64" s="376"/>
      <c r="O64" s="376"/>
      <c r="P64" s="377"/>
      <c r="Q64" s="2"/>
      <c r="R64" s="2"/>
      <c r="S64" s="2"/>
      <c r="T64" s="2"/>
      <c r="U64" s="2"/>
      <c r="V64" s="2"/>
      <c r="W64" s="2"/>
      <c r="X64" s="2"/>
      <c r="Y64" s="2"/>
    </row>
    <row r="65" spans="1:25" x14ac:dyDescent="0.25">
      <c r="A65" s="2"/>
      <c r="B65" s="18">
        <f t="shared" si="0"/>
        <v>10</v>
      </c>
      <c r="C65" s="44" t="s">
        <v>473</v>
      </c>
      <c r="D65" s="45" t="s">
        <v>730</v>
      </c>
      <c r="E65" s="93">
        <f>E64*E23*E113</f>
        <v>1.2214396849729101</v>
      </c>
      <c r="F65" s="47"/>
      <c r="G65" s="48"/>
      <c r="H65" s="49" t="s">
        <v>493</v>
      </c>
      <c r="I65" s="47" t="s">
        <v>716</v>
      </c>
      <c r="J65" s="369" t="s">
        <v>494</v>
      </c>
      <c r="K65" s="376"/>
      <c r="L65" s="376"/>
      <c r="M65" s="376"/>
      <c r="N65" s="376"/>
      <c r="O65" s="376"/>
      <c r="P65" s="377"/>
      <c r="Q65" s="2"/>
      <c r="R65" s="2"/>
      <c r="S65" s="2"/>
      <c r="T65" s="2"/>
      <c r="U65" s="2"/>
      <c r="V65" s="2"/>
      <c r="W65" s="2"/>
      <c r="X65" s="2"/>
      <c r="Y65" s="2"/>
    </row>
    <row r="66" spans="1:25" x14ac:dyDescent="0.25">
      <c r="A66" s="2"/>
      <c r="B66" s="18">
        <f t="shared" si="0"/>
        <v>6</v>
      </c>
      <c r="C66" s="44" t="str">
        <f>concentrate_composition!J19&amp;"_out"</f>
        <v>Ce_out</v>
      </c>
      <c r="D66" s="45"/>
      <c r="E66" s="46">
        <v>1</v>
      </c>
      <c r="F66" s="47">
        <v>0</v>
      </c>
      <c r="G66" s="48">
        <v>1</v>
      </c>
      <c r="H66" s="49"/>
      <c r="I66" s="47"/>
      <c r="J66" s="369" t="str">
        <f>"[binary] Selects "&amp;concentrate_composition!O43&amp;" chloride hexahydrate as output for the process"</f>
        <v>[binary] Selects Ce chloride hexahydrate as output for the process</v>
      </c>
      <c r="K66" s="376"/>
      <c r="L66" s="376"/>
      <c r="M66" s="376"/>
      <c r="N66" s="376"/>
      <c r="O66" s="376"/>
      <c r="P66" s="377"/>
      <c r="Q66" s="2"/>
      <c r="R66" s="2"/>
      <c r="S66" s="2"/>
      <c r="T66" s="2"/>
      <c r="U66" s="2"/>
      <c r="V66" s="2"/>
      <c r="W66" s="2"/>
      <c r="X66" s="2"/>
      <c r="Y66" s="2"/>
    </row>
    <row r="67" spans="1:25" x14ac:dyDescent="0.25">
      <c r="A67" s="2"/>
      <c r="B67" s="18">
        <f t="shared" si="0"/>
        <v>6</v>
      </c>
      <c r="C67" s="44" t="str">
        <f>concentrate_composition!J20&amp;"_out"</f>
        <v>La_out</v>
      </c>
      <c r="D67" s="45"/>
      <c r="E67" s="46">
        <v>0</v>
      </c>
      <c r="F67" s="47">
        <v>0</v>
      </c>
      <c r="G67" s="48">
        <v>1</v>
      </c>
      <c r="H67" s="49"/>
      <c r="I67" s="47"/>
      <c r="J67" s="369" t="str">
        <f>"[binary] Selects "&amp;concentrate_composition!O44&amp;" chloride hexahydrate as output for the process"</f>
        <v>[binary] Selects La chloride hexahydrate as output for the process</v>
      </c>
      <c r="K67" s="376"/>
      <c r="L67" s="376"/>
      <c r="M67" s="376"/>
      <c r="N67" s="376"/>
      <c r="O67" s="376"/>
      <c r="P67" s="377"/>
      <c r="Q67" s="2"/>
      <c r="R67" s="2"/>
      <c r="S67" s="2"/>
      <c r="T67" s="2"/>
      <c r="U67" s="2"/>
      <c r="V67" s="2"/>
      <c r="W67" s="2"/>
      <c r="X67" s="2"/>
      <c r="Y67" s="2"/>
    </row>
    <row r="68" spans="1:25" x14ac:dyDescent="0.25">
      <c r="A68" s="2"/>
      <c r="B68" s="18">
        <f t="shared" si="0"/>
        <v>6</v>
      </c>
      <c r="C68" s="44" t="str">
        <f>concentrate_composition!J21&amp;"_out"</f>
        <v>Pr_out</v>
      </c>
      <c r="D68" s="45"/>
      <c r="E68" s="46">
        <v>0</v>
      </c>
      <c r="F68" s="47">
        <v>0</v>
      </c>
      <c r="G68" s="48">
        <v>1</v>
      </c>
      <c r="H68" s="49"/>
      <c r="I68" s="47"/>
      <c r="J68" s="369" t="str">
        <f>"[binary] Selects "&amp;concentrate_composition!O45&amp;" chloride hexahydrate as output for the process"</f>
        <v>[binary] Selects Pr chloride hexahydrate as output for the process</v>
      </c>
      <c r="K68" s="376"/>
      <c r="L68" s="376"/>
      <c r="M68" s="376"/>
      <c r="N68" s="376"/>
      <c r="O68" s="376"/>
      <c r="P68" s="377"/>
      <c r="Q68" s="2"/>
      <c r="R68" s="2"/>
      <c r="S68" s="2"/>
      <c r="T68" s="2"/>
      <c r="U68" s="2"/>
      <c r="V68" s="2"/>
      <c r="W68" s="2"/>
      <c r="X68" s="2"/>
      <c r="Y68" s="2"/>
    </row>
    <row r="69" spans="1:25" x14ac:dyDescent="0.25">
      <c r="A69" s="2"/>
      <c r="B69" s="18">
        <f t="shared" si="0"/>
        <v>6</v>
      </c>
      <c r="C69" s="44" t="str">
        <f>concentrate_composition!J22&amp;"_out"</f>
        <v>Nd_out</v>
      </c>
      <c r="D69" s="45"/>
      <c r="E69" s="46">
        <v>0</v>
      </c>
      <c r="F69" s="47">
        <v>0</v>
      </c>
      <c r="G69" s="48">
        <v>1</v>
      </c>
      <c r="H69" s="49"/>
      <c r="I69" s="47"/>
      <c r="J69" s="369" t="str">
        <f>"[binary] Selects "&amp;concentrate_composition!O46&amp;" chloride hexahydrate as output for the process"</f>
        <v>[binary] Selects Nd chloride hexahydrate as output for the process</v>
      </c>
      <c r="K69" s="376"/>
      <c r="L69" s="376"/>
      <c r="M69" s="376"/>
      <c r="N69" s="376"/>
      <c r="O69" s="376"/>
      <c r="P69" s="377"/>
      <c r="Q69" s="2"/>
      <c r="R69" s="2"/>
      <c r="S69" s="2"/>
      <c r="T69" s="2"/>
      <c r="U69" s="2"/>
      <c r="V69" s="2"/>
      <c r="W69" s="2"/>
      <c r="X69" s="2"/>
      <c r="Y69" s="2"/>
    </row>
    <row r="70" spans="1:25" x14ac:dyDescent="0.25">
      <c r="A70" s="2"/>
      <c r="B70" s="18">
        <f t="shared" si="0"/>
        <v>6</v>
      </c>
      <c r="C70" s="44" t="str">
        <f>concentrate_composition!J23&amp;"_out"</f>
        <v>Sm_out</v>
      </c>
      <c r="D70" s="45"/>
      <c r="E70" s="46">
        <v>0</v>
      </c>
      <c r="F70" s="47">
        <v>0</v>
      </c>
      <c r="G70" s="48">
        <v>1</v>
      </c>
      <c r="H70" s="49"/>
      <c r="I70" s="47"/>
      <c r="J70" s="369" t="str">
        <f>"[binary] Selects "&amp;concentrate_composition!O47&amp;" chloride hexahydrate as output for the process"</f>
        <v>[binary] Selects Sm chloride hexahydrate as output for the process</v>
      </c>
      <c r="K70" s="376"/>
      <c r="L70" s="376"/>
      <c r="M70" s="376"/>
      <c r="N70" s="376"/>
      <c r="O70" s="376"/>
      <c r="P70" s="377"/>
      <c r="Q70" s="2"/>
      <c r="R70" s="2"/>
      <c r="S70" s="2"/>
      <c r="T70" s="2"/>
      <c r="U70" s="2"/>
      <c r="V70" s="2"/>
      <c r="W70" s="2"/>
      <c r="X70" s="2"/>
      <c r="Y70" s="2"/>
    </row>
    <row r="71" spans="1:25" x14ac:dyDescent="0.25">
      <c r="A71" s="2"/>
      <c r="B71" s="18">
        <f t="shared" si="0"/>
        <v>6</v>
      </c>
      <c r="C71" s="44" t="str">
        <f>concentrate_composition!J24&amp;"_out"</f>
        <v>Eu_out</v>
      </c>
      <c r="D71" s="45"/>
      <c r="E71" s="46">
        <v>0</v>
      </c>
      <c r="F71" s="47">
        <v>0</v>
      </c>
      <c r="G71" s="48">
        <v>1</v>
      </c>
      <c r="H71" s="49"/>
      <c r="I71" s="47"/>
      <c r="J71" s="369" t="str">
        <f>"[binary] Selects "&amp;concentrate_composition!O48&amp;" chloride hexahydrate as output for the process"</f>
        <v>[binary] Selects Eu chloride hexahydrate as output for the process</v>
      </c>
      <c r="K71" s="376"/>
      <c r="L71" s="376"/>
      <c r="M71" s="376"/>
      <c r="N71" s="376"/>
      <c r="O71" s="376"/>
      <c r="P71" s="377"/>
      <c r="Q71" s="2"/>
      <c r="R71" s="2"/>
      <c r="S71" s="2"/>
      <c r="T71" s="2"/>
      <c r="U71" s="2"/>
      <c r="V71" s="2"/>
      <c r="W71" s="2"/>
      <c r="X71" s="2"/>
      <c r="Y71" s="2"/>
    </row>
    <row r="72" spans="1:25" x14ac:dyDescent="0.25">
      <c r="A72" s="2"/>
      <c r="B72" s="18">
        <f t="shared" si="0"/>
        <v>6</v>
      </c>
      <c r="C72" s="44" t="str">
        <f>concentrate_composition!J25&amp;"_out"</f>
        <v>Gd_out</v>
      </c>
      <c r="D72" s="45"/>
      <c r="E72" s="46">
        <v>0</v>
      </c>
      <c r="F72" s="47">
        <v>0</v>
      </c>
      <c r="G72" s="48">
        <v>1</v>
      </c>
      <c r="H72" s="49"/>
      <c r="I72" s="47"/>
      <c r="J72" s="369" t="str">
        <f>"[binary] Selects "&amp;concentrate_composition!O49&amp;" chloride hexahydrate as output for the process"</f>
        <v>[binary] Selects Gd chloride hexahydrate as output for the process</v>
      </c>
      <c r="K72" s="376"/>
      <c r="L72" s="376"/>
      <c r="M72" s="376"/>
      <c r="N72" s="376"/>
      <c r="O72" s="376"/>
      <c r="P72" s="377"/>
      <c r="Q72" s="2"/>
      <c r="R72" s="2"/>
      <c r="S72" s="2"/>
      <c r="T72" s="2"/>
      <c r="U72" s="2"/>
      <c r="V72" s="2"/>
      <c r="W72" s="2"/>
      <c r="X72" s="2"/>
      <c r="Y72" s="2"/>
    </row>
    <row r="73" spans="1:25" x14ac:dyDescent="0.25">
      <c r="A73" s="2"/>
      <c r="B73" s="18">
        <f t="shared" si="0"/>
        <v>6</v>
      </c>
      <c r="C73" s="44" t="str">
        <f>concentrate_composition!J26&amp;"_out"</f>
        <v>Tb_out</v>
      </c>
      <c r="D73" s="45"/>
      <c r="E73" s="46">
        <v>0</v>
      </c>
      <c r="F73" s="47">
        <v>0</v>
      </c>
      <c r="G73" s="48">
        <v>1</v>
      </c>
      <c r="H73" s="49"/>
      <c r="I73" s="47"/>
      <c r="J73" s="369" t="str">
        <f>"[binary] Selects "&amp;concentrate_composition!O50&amp;" chloride hexahydrate as output for the process"</f>
        <v>[binary] Selects Tb chloride hexahydrate as output for the process</v>
      </c>
      <c r="K73" s="376"/>
      <c r="L73" s="376"/>
      <c r="M73" s="376"/>
      <c r="N73" s="376"/>
      <c r="O73" s="376"/>
      <c r="P73" s="377"/>
      <c r="Q73" s="2"/>
      <c r="R73" s="2"/>
      <c r="S73" s="2"/>
      <c r="T73" s="2"/>
      <c r="U73" s="2"/>
      <c r="V73" s="2"/>
      <c r="W73" s="2"/>
      <c r="X73" s="2"/>
      <c r="Y73" s="2"/>
    </row>
    <row r="74" spans="1:25" x14ac:dyDescent="0.25">
      <c r="A74" s="2"/>
      <c r="B74" s="18">
        <f t="shared" si="0"/>
        <v>6</v>
      </c>
      <c r="C74" s="44" t="str">
        <f>concentrate_composition!J27&amp;"_out"</f>
        <v>Dy_out</v>
      </c>
      <c r="D74" s="45"/>
      <c r="E74" s="46">
        <v>0</v>
      </c>
      <c r="F74" s="47">
        <v>0</v>
      </c>
      <c r="G74" s="48">
        <v>1</v>
      </c>
      <c r="H74" s="49"/>
      <c r="I74" s="47"/>
      <c r="J74" s="369" t="str">
        <f>"[binary] Selects "&amp;concentrate_composition!O51&amp;" chloride hexahydrate as output for the process"</f>
        <v>[binary] Selects Dy chloride hexahydrate as output for the process</v>
      </c>
      <c r="K74" s="376"/>
      <c r="L74" s="376"/>
      <c r="M74" s="376"/>
      <c r="N74" s="376"/>
      <c r="O74" s="376"/>
      <c r="P74" s="377"/>
      <c r="Q74" s="2"/>
      <c r="R74" s="2"/>
      <c r="S74" s="2"/>
      <c r="T74" s="2"/>
      <c r="U74" s="2"/>
      <c r="V74" s="2"/>
      <c r="W74" s="2"/>
      <c r="X74" s="2"/>
      <c r="Y74" s="2"/>
    </row>
    <row r="75" spans="1:25" x14ac:dyDescent="0.25">
      <c r="A75" s="2"/>
      <c r="B75" s="18">
        <f t="shared" si="0"/>
        <v>6</v>
      </c>
      <c r="C75" s="44" t="str">
        <f>concentrate_composition!J28&amp;"_out"</f>
        <v>Ho_out</v>
      </c>
      <c r="D75" s="45"/>
      <c r="E75" s="46">
        <v>0</v>
      </c>
      <c r="F75" s="47">
        <v>0</v>
      </c>
      <c r="G75" s="48">
        <v>1</v>
      </c>
      <c r="H75" s="49"/>
      <c r="I75" s="47"/>
      <c r="J75" s="369" t="str">
        <f>"[binary] Selects "&amp;concentrate_composition!O52&amp;" chloride hexahydrate as output for the process"</f>
        <v>[binary] Selects Ho chloride hexahydrate as output for the process</v>
      </c>
      <c r="K75" s="376"/>
      <c r="L75" s="376"/>
      <c r="M75" s="376"/>
      <c r="N75" s="376"/>
      <c r="O75" s="376"/>
      <c r="P75" s="377"/>
      <c r="Q75" s="2"/>
      <c r="R75" s="2"/>
      <c r="S75" s="2"/>
      <c r="T75" s="2"/>
      <c r="U75" s="2"/>
      <c r="V75" s="2"/>
      <c r="W75" s="2"/>
      <c r="X75" s="2"/>
      <c r="Y75" s="2"/>
    </row>
    <row r="76" spans="1:25" x14ac:dyDescent="0.25">
      <c r="A76" s="2"/>
      <c r="B76" s="18">
        <f t="shared" si="0"/>
        <v>6</v>
      </c>
      <c r="C76" s="44" t="str">
        <f>concentrate_composition!J29&amp;"_out"</f>
        <v>Er_out</v>
      </c>
      <c r="D76" s="45"/>
      <c r="E76" s="46">
        <v>0</v>
      </c>
      <c r="F76" s="47">
        <v>0</v>
      </c>
      <c r="G76" s="48">
        <v>1</v>
      </c>
      <c r="H76" s="49"/>
      <c r="I76" s="47"/>
      <c r="J76" s="369" t="str">
        <f>"[binary] Selects "&amp;concentrate_composition!O53&amp;" chloride hexahydrate as output for the process"</f>
        <v>[binary] Selects Er chloride hexahydrate as output for the process</v>
      </c>
      <c r="K76" s="376"/>
      <c r="L76" s="376"/>
      <c r="M76" s="376"/>
      <c r="N76" s="376"/>
      <c r="O76" s="376"/>
      <c r="P76" s="377"/>
      <c r="Q76" s="2"/>
      <c r="R76" s="2"/>
      <c r="S76" s="2"/>
      <c r="T76" s="2"/>
      <c r="U76" s="2"/>
      <c r="V76" s="2"/>
      <c r="W76" s="2"/>
      <c r="X76" s="2"/>
      <c r="Y76" s="2"/>
    </row>
    <row r="77" spans="1:25" x14ac:dyDescent="0.25">
      <c r="A77" s="2"/>
      <c r="B77" s="18">
        <f t="shared" si="0"/>
        <v>6</v>
      </c>
      <c r="C77" s="44" t="str">
        <f>concentrate_composition!J30&amp;"_out"</f>
        <v>Tm_out</v>
      </c>
      <c r="D77" s="45"/>
      <c r="E77" s="46">
        <v>0</v>
      </c>
      <c r="F77" s="47">
        <v>0</v>
      </c>
      <c r="G77" s="48">
        <v>1</v>
      </c>
      <c r="H77" s="49"/>
      <c r="I77" s="47"/>
      <c r="J77" s="369" t="str">
        <f>"[binary] Selects "&amp;concentrate_composition!O54&amp;" chloride hexahydrate as output for the process"</f>
        <v>[binary] Selects Tm chloride hexahydrate as output for the process</v>
      </c>
      <c r="K77" s="376"/>
      <c r="L77" s="376"/>
      <c r="M77" s="376"/>
      <c r="N77" s="376"/>
      <c r="O77" s="376"/>
      <c r="P77" s="377"/>
      <c r="Q77" s="2"/>
      <c r="R77" s="2"/>
      <c r="S77" s="2"/>
      <c r="T77" s="2"/>
      <c r="U77" s="2"/>
      <c r="V77" s="2"/>
      <c r="W77" s="2"/>
      <c r="X77" s="2"/>
      <c r="Y77" s="2"/>
    </row>
    <row r="78" spans="1:25" x14ac:dyDescent="0.25">
      <c r="A78" s="2"/>
      <c r="B78" s="18">
        <f t="shared" si="0"/>
        <v>6</v>
      </c>
      <c r="C78" s="44" t="str">
        <f>concentrate_composition!J31&amp;"_out"</f>
        <v>Yb_out</v>
      </c>
      <c r="D78" s="45"/>
      <c r="E78" s="46">
        <v>0</v>
      </c>
      <c r="F78" s="47">
        <v>0</v>
      </c>
      <c r="G78" s="48">
        <v>1</v>
      </c>
      <c r="H78" s="49"/>
      <c r="I78" s="47"/>
      <c r="J78" s="369" t="str">
        <f>"[binary] Selects "&amp;concentrate_composition!O55&amp;" chloride hexahydrate as output for the process"</f>
        <v>[binary] Selects Yb chloride hexahydrate as output for the process</v>
      </c>
      <c r="K78" s="376"/>
      <c r="L78" s="376"/>
      <c r="M78" s="376"/>
      <c r="N78" s="376"/>
      <c r="O78" s="376"/>
      <c r="P78" s="377"/>
      <c r="Q78" s="2"/>
      <c r="R78" s="2"/>
      <c r="S78" s="2"/>
      <c r="T78" s="2"/>
      <c r="U78" s="2"/>
      <c r="V78" s="2"/>
      <c r="W78" s="2"/>
      <c r="X78" s="2"/>
      <c r="Y78" s="2"/>
    </row>
    <row r="79" spans="1:25" x14ac:dyDescent="0.25">
      <c r="A79" s="2"/>
      <c r="B79" s="18">
        <f t="shared" si="0"/>
        <v>6</v>
      </c>
      <c r="C79" s="44" t="str">
        <f>concentrate_composition!J32&amp;"_out"</f>
        <v>Lu_out</v>
      </c>
      <c r="D79" s="45"/>
      <c r="E79" s="46">
        <v>0</v>
      </c>
      <c r="F79" s="47">
        <v>0</v>
      </c>
      <c r="G79" s="48">
        <v>1</v>
      </c>
      <c r="H79" s="49"/>
      <c r="I79" s="47"/>
      <c r="J79" s="369" t="str">
        <f>"[binary] Selects "&amp;concentrate_composition!O56&amp;" chloride hexahydrate as output for the process"</f>
        <v>[binary] Selects Lu chloride hexahydrate as output for the process</v>
      </c>
      <c r="K79" s="376"/>
      <c r="L79" s="376"/>
      <c r="M79" s="376"/>
      <c r="N79" s="376"/>
      <c r="O79" s="376"/>
      <c r="P79" s="377"/>
      <c r="Q79" s="2"/>
      <c r="R79" s="2"/>
      <c r="S79" s="2"/>
      <c r="T79" s="2"/>
      <c r="U79" s="2"/>
      <c r="V79" s="2"/>
      <c r="W79" s="2"/>
      <c r="X79" s="2"/>
      <c r="Y79" s="2"/>
    </row>
    <row r="80" spans="1:25" x14ac:dyDescent="0.25">
      <c r="A80" s="2"/>
      <c r="B80" s="18">
        <f t="shared" si="0"/>
        <v>5</v>
      </c>
      <c r="C80" s="44" t="str">
        <f>concentrate_composition!J33&amp;"_out"</f>
        <v>Y_out</v>
      </c>
      <c r="D80" s="45"/>
      <c r="E80" s="46">
        <v>0</v>
      </c>
      <c r="F80" s="47">
        <v>0</v>
      </c>
      <c r="G80" s="48">
        <v>1</v>
      </c>
      <c r="H80" s="49"/>
      <c r="I80" s="47"/>
      <c r="J80" s="369" t="str">
        <f>"[binary] Selects "&amp;concentrate_composition!O57&amp;" chloride hexahydrate as output for the process"</f>
        <v>[binary] Selects Y chloride hexahydrate as output for the process</v>
      </c>
      <c r="K80" s="376"/>
      <c r="L80" s="376"/>
      <c r="M80" s="376"/>
      <c r="N80" s="376"/>
      <c r="O80" s="376"/>
      <c r="P80" s="377"/>
      <c r="Q80" s="2"/>
      <c r="R80" s="2"/>
      <c r="S80" s="2"/>
      <c r="T80" s="2"/>
      <c r="U80" s="2"/>
      <c r="V80" s="2"/>
      <c r="W80" s="2"/>
      <c r="X80" s="2"/>
      <c r="Y80" s="2"/>
    </row>
    <row r="81" spans="1:25" x14ac:dyDescent="0.25">
      <c r="A81" s="2"/>
      <c r="B81" s="18">
        <f t="shared" si="0"/>
        <v>7</v>
      </c>
      <c r="C81" s="44" t="str">
        <f>concentrate_composition!O43&amp;"_conc"</f>
        <v>Ce_conc</v>
      </c>
      <c r="D81" s="45"/>
      <c r="E81" s="105">
        <f>concentrate_composition!F64</f>
        <v>0.48073667460210784</v>
      </c>
      <c r="F81" s="47"/>
      <c r="G81" s="48"/>
      <c r="H81" s="49" t="s">
        <v>327</v>
      </c>
      <c r="I81" s="47">
        <v>2</v>
      </c>
      <c r="J81" s="369" t="str">
        <f>"[kg/kg] mass of "&amp;concentrate_composition!O43&amp;" chloride hexahydrate per kg of rare earth chloride concentrate input"</f>
        <v>[kg/kg] mass of Ce chloride hexahydrate per kg of rare earth chloride concentrate input</v>
      </c>
      <c r="K81" s="376"/>
      <c r="L81" s="376"/>
      <c r="M81" s="376"/>
      <c r="N81" s="376"/>
      <c r="O81" s="376"/>
      <c r="P81" s="377"/>
      <c r="Q81" s="2"/>
      <c r="R81" s="2"/>
      <c r="S81" s="2"/>
      <c r="T81" s="2"/>
      <c r="U81" s="2"/>
      <c r="V81" s="2"/>
      <c r="W81" s="2"/>
      <c r="X81" s="2"/>
      <c r="Y81" s="2"/>
    </row>
    <row r="82" spans="1:25" x14ac:dyDescent="0.25">
      <c r="A82" s="2"/>
      <c r="B82" s="18">
        <f t="shared" si="0"/>
        <v>7</v>
      </c>
      <c r="C82" s="44" t="str">
        <f>concentrate_composition!O44&amp;"_conc"</f>
        <v>La_conc</v>
      </c>
      <c r="D82" s="45"/>
      <c r="E82" s="105">
        <f>concentrate_composition!F65</f>
        <v>0.34226581831545905</v>
      </c>
      <c r="F82" s="47"/>
      <c r="G82" s="48"/>
      <c r="H82" s="49" t="s">
        <v>327</v>
      </c>
      <c r="I82" s="47">
        <v>2</v>
      </c>
      <c r="J82" s="369" t="str">
        <f>"[kg/kg] mass of "&amp;concentrate_composition!O44&amp;" chloride hexahydrate per kg of rare earth chloride concentrate input"</f>
        <v>[kg/kg] mass of La chloride hexahydrate per kg of rare earth chloride concentrate input</v>
      </c>
      <c r="K82" s="376"/>
      <c r="L82" s="376"/>
      <c r="M82" s="376"/>
      <c r="N82" s="376"/>
      <c r="O82" s="376"/>
      <c r="P82" s="377"/>
      <c r="Q82" s="2"/>
      <c r="R82" s="2"/>
      <c r="S82" s="2"/>
      <c r="T82" s="2"/>
      <c r="U82" s="2"/>
      <c r="V82" s="2"/>
      <c r="W82" s="2"/>
      <c r="X82" s="2"/>
      <c r="Y82" s="2"/>
    </row>
    <row r="83" spans="1:25" x14ac:dyDescent="0.25">
      <c r="A83" s="2"/>
      <c r="B83" s="18">
        <f t="shared" si="0"/>
        <v>7</v>
      </c>
      <c r="C83" s="44" t="str">
        <f>concentrate_composition!O45&amp;"_conc"</f>
        <v>Pr_conc</v>
      </c>
      <c r="D83" s="45"/>
      <c r="E83" s="105">
        <f>concentrate_composition!F66</f>
        <v>4.3056723223932107E-2</v>
      </c>
      <c r="F83" s="47"/>
      <c r="G83" s="48"/>
      <c r="H83" s="49" t="s">
        <v>327</v>
      </c>
      <c r="I83" s="47">
        <v>2</v>
      </c>
      <c r="J83" s="369" t="str">
        <f>"[kg/kg] mass of "&amp;concentrate_composition!O45&amp;" chloride hexahydrate per kg of rare earth chloride concentrate input"</f>
        <v>[kg/kg] mass of Pr chloride hexahydrate per kg of rare earth chloride concentrate input</v>
      </c>
      <c r="K83" s="376"/>
      <c r="L83" s="376"/>
      <c r="M83" s="376"/>
      <c r="N83" s="376"/>
      <c r="O83" s="376"/>
      <c r="P83" s="377"/>
      <c r="Q83" s="2"/>
      <c r="R83" s="2"/>
      <c r="S83" s="2"/>
      <c r="T83" s="2"/>
      <c r="U83" s="2"/>
      <c r="V83" s="2"/>
      <c r="W83" s="2"/>
      <c r="X83" s="2"/>
      <c r="Y83" s="2"/>
    </row>
    <row r="84" spans="1:25" x14ac:dyDescent="0.25">
      <c r="A84" s="2"/>
      <c r="B84" s="18">
        <f t="shared" si="0"/>
        <v>7</v>
      </c>
      <c r="C84" s="44" t="str">
        <f>concentrate_composition!O46&amp;"_conc"</f>
        <v>Nd_conc</v>
      </c>
      <c r="D84" s="45"/>
      <c r="E84" s="105">
        <f>concentrate_composition!F67</f>
        <v>0.12159556059835569</v>
      </c>
      <c r="F84" s="47"/>
      <c r="G84" s="48"/>
      <c r="H84" s="49" t="s">
        <v>327</v>
      </c>
      <c r="I84" s="47">
        <v>2</v>
      </c>
      <c r="J84" s="369" t="str">
        <f>"[kg/kg] mass of "&amp;concentrate_composition!O46&amp;" chloride hexahydrate per kg of rare earth chloride concentrate input"</f>
        <v>[kg/kg] mass of Nd chloride hexahydrate per kg of rare earth chloride concentrate input</v>
      </c>
      <c r="K84" s="376"/>
      <c r="L84" s="376"/>
      <c r="M84" s="376"/>
      <c r="N84" s="376"/>
      <c r="O84" s="376"/>
      <c r="P84" s="377"/>
      <c r="Q84" s="2"/>
      <c r="R84" s="2"/>
      <c r="S84" s="2"/>
      <c r="T84" s="2"/>
      <c r="U84" s="2"/>
      <c r="V84" s="2"/>
      <c r="W84" s="2"/>
      <c r="X84" s="2"/>
      <c r="Y84" s="2"/>
    </row>
    <row r="85" spans="1:25" x14ac:dyDescent="0.25">
      <c r="A85" s="2"/>
      <c r="B85" s="18">
        <f t="shared" si="0"/>
        <v>7</v>
      </c>
      <c r="C85" s="44" t="str">
        <f>concentrate_composition!O47&amp;"_conc"</f>
        <v>Sm_conc</v>
      </c>
      <c r="D85" s="45"/>
      <c r="E85" s="105">
        <f>concentrate_composition!F68</f>
        <v>7.8459581474195367E-3</v>
      </c>
      <c r="F85" s="47"/>
      <c r="G85" s="48"/>
      <c r="H85" s="49" t="s">
        <v>327</v>
      </c>
      <c r="I85" s="47">
        <v>2</v>
      </c>
      <c r="J85" s="369" t="str">
        <f>"[kg/kg] mass of "&amp;concentrate_composition!O47&amp;" chloride hexahydrate per kg of rare earth chloride concentrate input"</f>
        <v>[kg/kg] mass of Sm chloride hexahydrate per kg of rare earth chloride concentrate input</v>
      </c>
      <c r="K85" s="376"/>
      <c r="L85" s="376"/>
      <c r="M85" s="376"/>
      <c r="N85" s="376"/>
      <c r="O85" s="376"/>
      <c r="P85" s="377"/>
      <c r="Q85" s="2"/>
      <c r="R85" s="2"/>
      <c r="S85" s="2"/>
      <c r="T85" s="2"/>
      <c r="U85" s="2"/>
      <c r="V85" s="2"/>
      <c r="W85" s="2"/>
      <c r="X85" s="2"/>
      <c r="Y85" s="2"/>
    </row>
    <row r="86" spans="1:25" x14ac:dyDescent="0.25">
      <c r="A86" s="2"/>
      <c r="B86" s="18">
        <f t="shared" si="0"/>
        <v>7</v>
      </c>
      <c r="C86" s="44" t="str">
        <f>concentrate_composition!O48&amp;"_conc"</f>
        <v>Eu_conc</v>
      </c>
      <c r="D86" s="45"/>
      <c r="E86" s="105">
        <f>concentrate_composition!F69</f>
        <v>1.1678291899200285E-3</v>
      </c>
      <c r="F86" s="47"/>
      <c r="G86" s="48"/>
      <c r="H86" s="49" t="s">
        <v>327</v>
      </c>
      <c r="I86" s="47">
        <v>2</v>
      </c>
      <c r="J86" s="369" t="str">
        <f>"[kg/kg] mass of "&amp;concentrate_composition!O48&amp;" chloride hexahydrate per kg of rare earth chloride concentrate input"</f>
        <v>[kg/kg] mass of Eu chloride hexahydrate per kg of rare earth chloride concentrate input</v>
      </c>
      <c r="K86" s="376"/>
      <c r="L86" s="376"/>
      <c r="M86" s="376"/>
      <c r="N86" s="376"/>
      <c r="O86" s="376"/>
      <c r="P86" s="377"/>
      <c r="Q86" s="2"/>
      <c r="R86" s="2"/>
      <c r="S86" s="2"/>
      <c r="T86" s="2"/>
      <c r="U86" s="2"/>
      <c r="V86" s="2"/>
      <c r="W86" s="2"/>
      <c r="X86" s="2"/>
      <c r="Y86" s="2"/>
    </row>
    <row r="87" spans="1:25" x14ac:dyDescent="0.25">
      <c r="A87" s="2"/>
      <c r="B87" s="18">
        <f t="shared" si="0"/>
        <v>7</v>
      </c>
      <c r="C87" s="44" t="str">
        <f>concentrate_composition!O49&amp;"_conc"</f>
        <v>Gd_conc</v>
      </c>
      <c r="D87" s="45"/>
      <c r="E87" s="105">
        <f>concentrate_composition!F70</f>
        <v>1.6179743912336528E-3</v>
      </c>
      <c r="F87" s="47"/>
      <c r="G87" s="48"/>
      <c r="H87" s="49" t="s">
        <v>327</v>
      </c>
      <c r="I87" s="47">
        <v>2</v>
      </c>
      <c r="J87" s="369" t="str">
        <f>"[kg/kg] mass of "&amp;concentrate_composition!O49&amp;" chloride hexahydrate per kg of rare earth chloride concentrate input"</f>
        <v>[kg/kg] mass of Gd chloride hexahydrate per kg of rare earth chloride concentrate input</v>
      </c>
      <c r="K87" s="376"/>
      <c r="L87" s="376"/>
      <c r="M87" s="376"/>
      <c r="N87" s="376"/>
      <c r="O87" s="376"/>
      <c r="P87" s="377"/>
      <c r="Q87" s="2"/>
      <c r="R87" s="2"/>
      <c r="S87" s="2"/>
      <c r="T87" s="2"/>
      <c r="U87" s="2"/>
      <c r="V87" s="2"/>
      <c r="W87" s="2"/>
      <c r="X87" s="2"/>
      <c r="Y87" s="2"/>
    </row>
    <row r="88" spans="1:25" x14ac:dyDescent="0.25">
      <c r="A88" s="2"/>
      <c r="B88" s="18">
        <f t="shared" si="0"/>
        <v>7</v>
      </c>
      <c r="C88" s="44" t="str">
        <f>concentrate_composition!O50&amp;"_conc"</f>
        <v>Tb_conc</v>
      </c>
      <c r="D88" s="45"/>
      <c r="E88" s="105">
        <f>concentrate_composition!F71</f>
        <v>1.5094678017309526E-4</v>
      </c>
      <c r="F88" s="47"/>
      <c r="G88" s="48"/>
      <c r="H88" s="49" t="s">
        <v>327</v>
      </c>
      <c r="I88" s="47">
        <v>2</v>
      </c>
      <c r="J88" s="369" t="str">
        <f>"[kg/kg] mass of "&amp;concentrate_composition!O50&amp;" chloride hexahydrate per kg of rare earth chloride concentrate input"</f>
        <v>[kg/kg] mass of Tb chloride hexahydrate per kg of rare earth chloride concentrate input</v>
      </c>
      <c r="K88" s="376"/>
      <c r="L88" s="376"/>
      <c r="M88" s="376"/>
      <c r="N88" s="376"/>
      <c r="O88" s="376"/>
      <c r="P88" s="377"/>
      <c r="Q88" s="2"/>
      <c r="R88" s="2"/>
      <c r="S88" s="2"/>
      <c r="T88" s="2"/>
      <c r="U88" s="2"/>
      <c r="V88" s="2"/>
      <c r="W88" s="2"/>
      <c r="X88" s="2"/>
      <c r="Y88" s="2"/>
    </row>
    <row r="89" spans="1:25" x14ac:dyDescent="0.25">
      <c r="A89" s="2"/>
      <c r="B89" s="18">
        <f t="shared" si="0"/>
        <v>7</v>
      </c>
      <c r="C89" s="44" t="str">
        <f>concentrate_composition!O51&amp;"_conc"</f>
        <v>Dy_conc</v>
      </c>
      <c r="D89" s="45"/>
      <c r="E89" s="105">
        <f>concentrate_composition!F72</f>
        <v>2.9971497547031495E-4</v>
      </c>
      <c r="F89" s="47"/>
      <c r="G89" s="48"/>
      <c r="H89" s="49" t="s">
        <v>327</v>
      </c>
      <c r="I89" s="47">
        <v>2</v>
      </c>
      <c r="J89" s="369" t="str">
        <f>"[kg/kg] mass of "&amp;concentrate_composition!O51&amp;" chloride hexahydrate per kg of rare earth chloride concentrate input"</f>
        <v>[kg/kg] mass of Dy chloride hexahydrate per kg of rare earth chloride concentrate input</v>
      </c>
      <c r="K89" s="376"/>
      <c r="L89" s="376"/>
      <c r="M89" s="376"/>
      <c r="N89" s="376"/>
      <c r="O89" s="376"/>
      <c r="P89" s="377"/>
      <c r="Q89" s="2"/>
      <c r="R89" s="2"/>
      <c r="S89" s="2"/>
      <c r="T89" s="2"/>
      <c r="U89" s="2"/>
      <c r="V89" s="2"/>
      <c r="W89" s="2"/>
      <c r="X89" s="2"/>
      <c r="Y89" s="2"/>
    </row>
    <row r="90" spans="1:25" x14ac:dyDescent="0.25">
      <c r="A90" s="2"/>
      <c r="B90" s="18">
        <f t="shared" si="0"/>
        <v>7</v>
      </c>
      <c r="C90" s="44" t="str">
        <f>concentrate_composition!O52&amp;"_conc"</f>
        <v>Ho_conc</v>
      </c>
      <c r="D90" s="45"/>
      <c r="E90" s="105">
        <f>concentrate_composition!F73</f>
        <v>4.867346007750541E-5</v>
      </c>
      <c r="F90" s="47"/>
      <c r="G90" s="48"/>
      <c r="H90" s="49" t="s">
        <v>327</v>
      </c>
      <c r="I90" s="47">
        <v>2</v>
      </c>
      <c r="J90" s="369" t="str">
        <f>"[kg/kg] mass of "&amp;concentrate_composition!O52&amp;" chloride hexahydrate per kg of rare earth chloride concentrate input"</f>
        <v>[kg/kg] mass of Ho chloride hexahydrate per kg of rare earth chloride concentrate input</v>
      </c>
      <c r="K90" s="376"/>
      <c r="L90" s="376"/>
      <c r="M90" s="376"/>
      <c r="N90" s="376"/>
      <c r="O90" s="376"/>
      <c r="P90" s="377"/>
      <c r="Q90" s="2"/>
      <c r="R90" s="2"/>
      <c r="S90" s="2"/>
      <c r="T90" s="2"/>
      <c r="U90" s="2"/>
      <c r="V90" s="2"/>
      <c r="W90" s="2"/>
      <c r="X90" s="2"/>
      <c r="Y90" s="2"/>
    </row>
    <row r="91" spans="1:25" x14ac:dyDescent="0.25">
      <c r="A91" s="2"/>
      <c r="B91" s="18">
        <f t="shared" si="0"/>
        <v>7</v>
      </c>
      <c r="C91" s="44" t="str">
        <f>concentrate_composition!O53&amp;"_conc"</f>
        <v>Er_conc</v>
      </c>
      <c r="D91" s="45"/>
      <c r="E91" s="105">
        <f>concentrate_composition!F74</f>
        <v>3.3199186300203249E-5</v>
      </c>
      <c r="F91" s="47"/>
      <c r="G91" s="48"/>
      <c r="H91" s="49" t="s">
        <v>327</v>
      </c>
      <c r="I91" s="47">
        <v>2</v>
      </c>
      <c r="J91" s="369" t="str">
        <f>"[kg/kg] mass of "&amp;concentrate_composition!O53&amp;" chloride hexahydrate per kg of rare earth chloride concentrate input"</f>
        <v>[kg/kg] mass of Er chloride hexahydrate per kg of rare earth chloride concentrate input</v>
      </c>
      <c r="K91" s="376"/>
      <c r="L91" s="376"/>
      <c r="M91" s="376"/>
      <c r="N91" s="376"/>
      <c r="O91" s="376"/>
      <c r="P91" s="377"/>
      <c r="Q91" s="2"/>
      <c r="R91" s="2"/>
      <c r="S91" s="2"/>
      <c r="T91" s="2"/>
      <c r="U91" s="2"/>
      <c r="V91" s="2"/>
      <c r="W91" s="2"/>
      <c r="X91" s="2"/>
      <c r="Y91" s="2"/>
    </row>
    <row r="92" spans="1:25" x14ac:dyDescent="0.25">
      <c r="A92" s="2"/>
      <c r="B92" s="18">
        <f t="shared" si="0"/>
        <v>7</v>
      </c>
      <c r="C92" s="44" t="str">
        <f>concentrate_composition!O54&amp;"_conc"</f>
        <v>Tm_conc</v>
      </c>
      <c r="D92" s="45"/>
      <c r="E92" s="105">
        <f>concentrate_composition!F75</f>
        <v>8.4999494946944399E-6</v>
      </c>
      <c r="F92" s="47"/>
      <c r="G92" s="48"/>
      <c r="H92" s="49" t="s">
        <v>327</v>
      </c>
      <c r="I92" s="47">
        <v>2</v>
      </c>
      <c r="J92" s="369" t="str">
        <f>"[kg/kg] mass of "&amp;concentrate_composition!O54&amp;" chloride hexahydrate per kg of rare earth chloride concentrate input"</f>
        <v>[kg/kg] mass of Tm chloride hexahydrate per kg of rare earth chloride concentrate input</v>
      </c>
      <c r="K92" s="376"/>
      <c r="L92" s="376"/>
      <c r="M92" s="376"/>
      <c r="N92" s="376"/>
      <c r="O92" s="376"/>
      <c r="P92" s="377"/>
      <c r="Q92" s="2"/>
      <c r="R92" s="2"/>
      <c r="S92" s="2"/>
      <c r="T92" s="2"/>
      <c r="U92" s="2"/>
      <c r="V92" s="2"/>
      <c r="W92" s="2"/>
      <c r="X92" s="2"/>
      <c r="Y92" s="2"/>
    </row>
    <row r="93" spans="1:25" x14ac:dyDescent="0.25">
      <c r="A93" s="2"/>
      <c r="B93" s="18">
        <f t="shared" si="0"/>
        <v>7</v>
      </c>
      <c r="C93" s="44" t="str">
        <f>concentrate_composition!O55&amp;"_conc"</f>
        <v>Yb_conc</v>
      </c>
      <c r="D93" s="45"/>
      <c r="E93" s="105">
        <f>concentrate_composition!F76</f>
        <v>5.6079761120969049E-6</v>
      </c>
      <c r="F93" s="47"/>
      <c r="G93" s="48"/>
      <c r="H93" s="49" t="s">
        <v>327</v>
      </c>
      <c r="I93" s="47">
        <v>2</v>
      </c>
      <c r="J93" s="369" t="str">
        <f>"[kg/kg] mass of "&amp;concentrate_composition!O55&amp;" chloride hexahydrate per kg of rare earth chloride concentrate input"</f>
        <v>[kg/kg] mass of Yb chloride hexahydrate per kg of rare earth chloride concentrate input</v>
      </c>
      <c r="K93" s="376"/>
      <c r="L93" s="376"/>
      <c r="M93" s="376"/>
      <c r="N93" s="376"/>
      <c r="O93" s="376"/>
      <c r="P93" s="377"/>
      <c r="Q93" s="2"/>
      <c r="R93" s="2"/>
      <c r="S93" s="2"/>
      <c r="T93" s="2"/>
      <c r="U93" s="2"/>
      <c r="V93" s="2"/>
      <c r="W93" s="2"/>
      <c r="X93" s="2"/>
      <c r="Y93" s="2"/>
    </row>
    <row r="94" spans="1:25" x14ac:dyDescent="0.25">
      <c r="A94" s="2"/>
      <c r="B94" s="18">
        <f t="shared" si="0"/>
        <v>7</v>
      </c>
      <c r="C94" s="44" t="str">
        <f>concentrate_composition!O56&amp;"_conc"</f>
        <v>Lu_conc</v>
      </c>
      <c r="D94" s="45"/>
      <c r="E94" s="105">
        <f>concentrate_composition!F77</f>
        <v>9.3021349639128384E-7</v>
      </c>
      <c r="F94" s="47"/>
      <c r="G94" s="48"/>
      <c r="H94" s="49" t="s">
        <v>327</v>
      </c>
      <c r="I94" s="47">
        <v>2</v>
      </c>
      <c r="J94" s="369" t="str">
        <f>"[kg/kg] mass of "&amp;concentrate_composition!O56&amp;" chloride hexahydrate per kg of rare earth chloride concentrate input"</f>
        <v>[kg/kg] mass of Lu chloride hexahydrate per kg of rare earth chloride concentrate input</v>
      </c>
      <c r="K94" s="376"/>
      <c r="L94" s="376"/>
      <c r="M94" s="376"/>
      <c r="N94" s="376"/>
      <c r="O94" s="376"/>
      <c r="P94" s="377"/>
      <c r="Q94" s="2"/>
      <c r="R94" s="2"/>
      <c r="S94" s="2"/>
      <c r="T94" s="2"/>
      <c r="U94" s="2"/>
      <c r="V94" s="2"/>
      <c r="W94" s="2"/>
      <c r="X94" s="2"/>
      <c r="Y94" s="2"/>
    </row>
    <row r="95" spans="1:25" x14ac:dyDescent="0.25">
      <c r="A95" s="2"/>
      <c r="B95" s="18">
        <f t="shared" si="0"/>
        <v>6</v>
      </c>
      <c r="C95" s="44" t="str">
        <f>concentrate_composition!O57&amp;"_conc"</f>
        <v>Y_conc</v>
      </c>
      <c r="D95" s="45"/>
      <c r="E95" s="105">
        <f>concentrate_composition!F78</f>
        <v>1.1658889904480611E-3</v>
      </c>
      <c r="F95" s="47"/>
      <c r="G95" s="48"/>
      <c r="H95" s="49" t="s">
        <v>327</v>
      </c>
      <c r="I95" s="47">
        <v>2</v>
      </c>
      <c r="J95" s="369" t="str">
        <f>"[kg/kg] mass of "&amp;concentrate_composition!O57&amp;" chloride hexahydrate per kg of rare earth chloride concentrate input"</f>
        <v>[kg/kg] mass of Y chloride hexahydrate per kg of rare earth chloride concentrate input</v>
      </c>
      <c r="K95" s="376"/>
      <c r="L95" s="376"/>
      <c r="M95" s="376"/>
      <c r="N95" s="376"/>
      <c r="O95" s="376"/>
      <c r="P95" s="377"/>
      <c r="Q95" s="2"/>
      <c r="R95" s="2"/>
      <c r="S95" s="2"/>
      <c r="T95" s="2"/>
      <c r="U95" s="2"/>
      <c r="V95" s="2"/>
      <c r="W95" s="2"/>
      <c r="X95" s="2"/>
      <c r="Y95" s="2"/>
    </row>
    <row r="96" spans="1:25" x14ac:dyDescent="0.25">
      <c r="A96" s="2"/>
      <c r="B96" s="18">
        <f t="shared" si="0"/>
        <v>8</v>
      </c>
      <c r="C96" s="44" t="str">
        <f>concentrate_composition!J19&amp;"_yield"</f>
        <v>Ce_yield</v>
      </c>
      <c r="D96" s="45" t="s">
        <v>474</v>
      </c>
      <c r="E96" s="105">
        <f>E81*E66*$E$27</f>
        <v>0.4615072076180235</v>
      </c>
      <c r="F96" s="47"/>
      <c r="G96" s="48"/>
      <c r="H96" s="49" t="s">
        <v>327</v>
      </c>
      <c r="I96" s="47">
        <v>2</v>
      </c>
      <c r="J96" s="369" t="str">
        <f>"[kg/kg] mass of "&amp;concentrate_composition!O43&amp;" chloride hexahydrate produced per kg of rare earth chloride concentrate input"</f>
        <v>[kg/kg] mass of Ce chloride hexahydrate produced per kg of rare earth chloride concentrate input</v>
      </c>
      <c r="K96" s="376"/>
      <c r="L96" s="376"/>
      <c r="M96" s="376"/>
      <c r="N96" s="376"/>
      <c r="O96" s="376"/>
      <c r="P96" s="377"/>
      <c r="Q96" s="2"/>
      <c r="R96" s="2"/>
      <c r="S96" s="2"/>
      <c r="T96" s="2"/>
      <c r="U96" s="2"/>
      <c r="V96" s="2"/>
      <c r="W96" s="2"/>
      <c r="X96" s="2"/>
      <c r="Y96" s="2"/>
    </row>
    <row r="97" spans="1:25" x14ac:dyDescent="0.25">
      <c r="A97" s="2"/>
      <c r="B97" s="18">
        <f t="shared" si="0"/>
        <v>8</v>
      </c>
      <c r="C97" s="44" t="str">
        <f>concentrate_composition!J20&amp;"_yield"</f>
        <v>La_yield</v>
      </c>
      <c r="D97" s="45" t="s">
        <v>475</v>
      </c>
      <c r="E97" s="105">
        <f t="shared" ref="E97:E110" si="3">E82*E67*$E$27</f>
        <v>0</v>
      </c>
      <c r="F97" s="47"/>
      <c r="G97" s="48"/>
      <c r="H97" s="49" t="s">
        <v>327</v>
      </c>
      <c r="I97" s="47">
        <v>2</v>
      </c>
      <c r="J97" s="369" t="str">
        <f>"[kg/kg] mass of "&amp;concentrate_composition!O44&amp;" chloride hexahydrate produced per kg of rare earth chloride concentrate input"</f>
        <v>[kg/kg] mass of La chloride hexahydrate produced per kg of rare earth chloride concentrate input</v>
      </c>
      <c r="K97" s="376"/>
      <c r="L97" s="376"/>
      <c r="M97" s="376"/>
      <c r="N97" s="376"/>
      <c r="O97" s="376"/>
      <c r="P97" s="377"/>
      <c r="Q97" s="2"/>
      <c r="R97" s="2"/>
      <c r="S97" s="2"/>
      <c r="T97" s="2"/>
      <c r="U97" s="2"/>
      <c r="V97" s="2"/>
      <c r="W97" s="2"/>
      <c r="X97" s="2"/>
      <c r="Y97" s="2"/>
    </row>
    <row r="98" spans="1:25" x14ac:dyDescent="0.25">
      <c r="A98" s="2"/>
      <c r="B98" s="18">
        <f t="shared" si="0"/>
        <v>8</v>
      </c>
      <c r="C98" s="44" t="str">
        <f>concentrate_composition!J21&amp;"_yield"</f>
        <v>Pr_yield</v>
      </c>
      <c r="D98" s="45" t="s">
        <v>476</v>
      </c>
      <c r="E98" s="105">
        <f t="shared" si="3"/>
        <v>0</v>
      </c>
      <c r="F98" s="47"/>
      <c r="G98" s="48"/>
      <c r="H98" s="49" t="s">
        <v>327</v>
      </c>
      <c r="I98" s="47">
        <v>2</v>
      </c>
      <c r="J98" s="369" t="str">
        <f>"[kg/kg] mass of "&amp;concentrate_composition!O45&amp;" chloride hexahydrate produced per kg of rare earth chloride concentrate input"</f>
        <v>[kg/kg] mass of Pr chloride hexahydrate produced per kg of rare earth chloride concentrate input</v>
      </c>
      <c r="K98" s="376"/>
      <c r="L98" s="376"/>
      <c r="M98" s="376"/>
      <c r="N98" s="376"/>
      <c r="O98" s="376"/>
      <c r="P98" s="377"/>
      <c r="Q98" s="2"/>
      <c r="R98" s="2"/>
      <c r="S98" s="2"/>
      <c r="T98" s="2"/>
      <c r="U98" s="2"/>
      <c r="V98" s="2"/>
      <c r="W98" s="2"/>
      <c r="X98" s="2"/>
      <c r="Y98" s="2"/>
    </row>
    <row r="99" spans="1:25" x14ac:dyDescent="0.25">
      <c r="A99" s="2"/>
      <c r="B99" s="18">
        <f t="shared" si="0"/>
        <v>8</v>
      </c>
      <c r="C99" s="44" t="str">
        <f>concentrate_composition!J22&amp;"_yield"</f>
        <v>Nd_yield</v>
      </c>
      <c r="D99" s="45" t="s">
        <v>477</v>
      </c>
      <c r="E99" s="105">
        <f t="shared" si="3"/>
        <v>0</v>
      </c>
      <c r="F99" s="47"/>
      <c r="G99" s="48"/>
      <c r="H99" s="49" t="s">
        <v>327</v>
      </c>
      <c r="I99" s="47">
        <v>2</v>
      </c>
      <c r="J99" s="369" t="str">
        <f>"[kg/kg] mass of "&amp;concentrate_composition!O46&amp;" chloride hexahydrate produced per kg of rare earth chloride concentrate input"</f>
        <v>[kg/kg] mass of Nd chloride hexahydrate produced per kg of rare earth chloride concentrate input</v>
      </c>
      <c r="K99" s="376"/>
      <c r="L99" s="376"/>
      <c r="M99" s="376"/>
      <c r="N99" s="376"/>
      <c r="O99" s="376"/>
      <c r="P99" s="377"/>
      <c r="Q99" s="2"/>
      <c r="R99" s="2"/>
      <c r="S99" s="2"/>
      <c r="T99" s="2"/>
      <c r="U99" s="2"/>
      <c r="V99" s="2"/>
      <c r="W99" s="2"/>
      <c r="X99" s="2"/>
      <c r="Y99" s="2"/>
    </row>
    <row r="100" spans="1:25" x14ac:dyDescent="0.25">
      <c r="A100" s="2"/>
      <c r="B100" s="18">
        <f t="shared" si="0"/>
        <v>8</v>
      </c>
      <c r="C100" s="44" t="str">
        <f>concentrate_composition!J23&amp;"_yield"</f>
        <v>Sm_yield</v>
      </c>
      <c r="D100" s="45" t="s">
        <v>478</v>
      </c>
      <c r="E100" s="105">
        <f t="shared" si="3"/>
        <v>0</v>
      </c>
      <c r="F100" s="47"/>
      <c r="G100" s="48"/>
      <c r="H100" s="49" t="s">
        <v>327</v>
      </c>
      <c r="I100" s="47">
        <v>2</v>
      </c>
      <c r="J100" s="369" t="str">
        <f>"[kg/kg] mass of "&amp;concentrate_composition!O47&amp;" chloride hexahydrate produced per kg of rare earth chloride concentrate input"</f>
        <v>[kg/kg] mass of Sm chloride hexahydrate produced per kg of rare earth chloride concentrate input</v>
      </c>
      <c r="K100" s="376"/>
      <c r="L100" s="376"/>
      <c r="M100" s="376"/>
      <c r="N100" s="376"/>
      <c r="O100" s="376"/>
      <c r="P100" s="377"/>
      <c r="Q100" s="2"/>
      <c r="R100" s="2"/>
      <c r="S100" s="2"/>
      <c r="T100" s="2"/>
      <c r="U100" s="2"/>
      <c r="V100" s="2"/>
      <c r="W100" s="2"/>
      <c r="X100" s="2"/>
      <c r="Y100" s="2"/>
    </row>
    <row r="101" spans="1:25" x14ac:dyDescent="0.25">
      <c r="A101" s="2"/>
      <c r="B101" s="18">
        <f t="shared" si="0"/>
        <v>8</v>
      </c>
      <c r="C101" s="44" t="str">
        <f>concentrate_composition!J24&amp;"_yield"</f>
        <v>Eu_yield</v>
      </c>
      <c r="D101" s="45" t="s">
        <v>479</v>
      </c>
      <c r="E101" s="105">
        <f t="shared" si="3"/>
        <v>0</v>
      </c>
      <c r="F101" s="47"/>
      <c r="G101" s="48"/>
      <c r="H101" s="49" t="s">
        <v>327</v>
      </c>
      <c r="I101" s="47">
        <v>2</v>
      </c>
      <c r="J101" s="369" t="str">
        <f>"[kg/kg] mass of "&amp;concentrate_composition!O48&amp;" chloride hexahydrate produced per kg of rare earth chloride concentrate input"</f>
        <v>[kg/kg] mass of Eu chloride hexahydrate produced per kg of rare earth chloride concentrate input</v>
      </c>
      <c r="K101" s="376"/>
      <c r="L101" s="376"/>
      <c r="M101" s="376"/>
      <c r="N101" s="376"/>
      <c r="O101" s="376"/>
      <c r="P101" s="377"/>
      <c r="Q101" s="2"/>
      <c r="R101" s="2"/>
      <c r="S101" s="2"/>
      <c r="T101" s="2"/>
      <c r="U101" s="2"/>
      <c r="V101" s="2"/>
      <c r="W101" s="2"/>
      <c r="X101" s="2"/>
      <c r="Y101" s="2"/>
    </row>
    <row r="102" spans="1:25" x14ac:dyDescent="0.25">
      <c r="A102" s="2"/>
      <c r="B102" s="18">
        <f t="shared" si="0"/>
        <v>8</v>
      </c>
      <c r="C102" s="44" t="str">
        <f>concentrate_composition!J25&amp;"_yield"</f>
        <v>Gd_yield</v>
      </c>
      <c r="D102" s="45" t="s">
        <v>480</v>
      </c>
      <c r="E102" s="105">
        <f t="shared" si="3"/>
        <v>0</v>
      </c>
      <c r="F102" s="47"/>
      <c r="G102" s="48"/>
      <c r="H102" s="49" t="s">
        <v>327</v>
      </c>
      <c r="I102" s="47">
        <v>2</v>
      </c>
      <c r="J102" s="369" t="str">
        <f>"[kg/kg] mass of "&amp;concentrate_composition!O49&amp;" chloride hexahydrate produced per kg of rare earth chloride concentrate input"</f>
        <v>[kg/kg] mass of Gd chloride hexahydrate produced per kg of rare earth chloride concentrate input</v>
      </c>
      <c r="K102" s="376"/>
      <c r="L102" s="376"/>
      <c r="M102" s="376"/>
      <c r="N102" s="376"/>
      <c r="O102" s="376"/>
      <c r="P102" s="377"/>
      <c r="Q102" s="2"/>
      <c r="R102" s="2"/>
      <c r="S102" s="2"/>
      <c r="T102" s="2"/>
      <c r="U102" s="2"/>
      <c r="V102" s="2"/>
      <c r="W102" s="2"/>
      <c r="X102" s="2"/>
      <c r="Y102" s="2"/>
    </row>
    <row r="103" spans="1:25" x14ac:dyDescent="0.25">
      <c r="A103" s="2"/>
      <c r="B103" s="18">
        <f t="shared" si="0"/>
        <v>8</v>
      </c>
      <c r="C103" s="44" t="str">
        <f>concentrate_composition!J26&amp;"_yield"</f>
        <v>Tb_yield</v>
      </c>
      <c r="D103" s="45" t="s">
        <v>481</v>
      </c>
      <c r="E103" s="105">
        <f t="shared" si="3"/>
        <v>0</v>
      </c>
      <c r="F103" s="47"/>
      <c r="G103" s="48"/>
      <c r="H103" s="49" t="s">
        <v>327</v>
      </c>
      <c r="I103" s="47">
        <v>2</v>
      </c>
      <c r="J103" s="369" t="str">
        <f>"[kg/kg] mass of "&amp;concentrate_composition!O50&amp;" chloride hexahydrate produced per kg of rare earth chloride concentrate input"</f>
        <v>[kg/kg] mass of Tb chloride hexahydrate produced per kg of rare earth chloride concentrate input</v>
      </c>
      <c r="K103" s="376"/>
      <c r="L103" s="376"/>
      <c r="M103" s="376"/>
      <c r="N103" s="376"/>
      <c r="O103" s="376"/>
      <c r="P103" s="377"/>
      <c r="Q103" s="2"/>
      <c r="R103" s="2"/>
      <c r="S103" s="2"/>
      <c r="T103" s="2"/>
      <c r="U103" s="2"/>
      <c r="V103" s="2"/>
      <c r="W103" s="2"/>
      <c r="X103" s="2"/>
      <c r="Y103" s="2"/>
    </row>
    <row r="104" spans="1:25" x14ac:dyDescent="0.25">
      <c r="A104" s="2"/>
      <c r="B104" s="18">
        <f t="shared" si="0"/>
        <v>8</v>
      </c>
      <c r="C104" s="44" t="str">
        <f>concentrate_composition!J27&amp;"_yield"</f>
        <v>Dy_yield</v>
      </c>
      <c r="D104" s="45" t="s">
        <v>482</v>
      </c>
      <c r="E104" s="105">
        <f t="shared" si="3"/>
        <v>0</v>
      </c>
      <c r="F104" s="47"/>
      <c r="G104" s="48"/>
      <c r="H104" s="49" t="s">
        <v>327</v>
      </c>
      <c r="I104" s="47">
        <v>2</v>
      </c>
      <c r="J104" s="369" t="str">
        <f>"[kg/kg] mass of "&amp;concentrate_composition!O51&amp;" chloride hexahydrate produced per kg of rare earth chloride concentrate input"</f>
        <v>[kg/kg] mass of Dy chloride hexahydrate produced per kg of rare earth chloride concentrate input</v>
      </c>
      <c r="K104" s="376"/>
      <c r="L104" s="376"/>
      <c r="M104" s="376"/>
      <c r="N104" s="376"/>
      <c r="O104" s="376"/>
      <c r="P104" s="377"/>
      <c r="Q104" s="2"/>
      <c r="R104" s="2"/>
      <c r="S104" s="2"/>
      <c r="T104" s="2"/>
      <c r="U104" s="2"/>
      <c r="V104" s="2"/>
      <c r="W104" s="2"/>
      <c r="X104" s="2"/>
      <c r="Y104" s="2"/>
    </row>
    <row r="105" spans="1:25" x14ac:dyDescent="0.25">
      <c r="A105" s="2"/>
      <c r="B105" s="18">
        <f t="shared" si="0"/>
        <v>8</v>
      </c>
      <c r="C105" s="44" t="str">
        <f>concentrate_composition!J28&amp;"_yield"</f>
        <v>Ho_yield</v>
      </c>
      <c r="D105" s="45" t="s">
        <v>483</v>
      </c>
      <c r="E105" s="105">
        <f t="shared" si="3"/>
        <v>0</v>
      </c>
      <c r="F105" s="47"/>
      <c r="G105" s="48"/>
      <c r="H105" s="49" t="s">
        <v>327</v>
      </c>
      <c r="I105" s="47">
        <v>2</v>
      </c>
      <c r="J105" s="369" t="str">
        <f>"[kg/kg] mass of "&amp;concentrate_composition!O52&amp;" chloride hexahydrate produced per kg of rare earth chloride concentrate input"</f>
        <v>[kg/kg] mass of Ho chloride hexahydrate produced per kg of rare earth chloride concentrate input</v>
      </c>
      <c r="K105" s="376"/>
      <c r="L105" s="376"/>
      <c r="M105" s="376"/>
      <c r="N105" s="376"/>
      <c r="O105" s="376"/>
      <c r="P105" s="377"/>
      <c r="Q105" s="2"/>
      <c r="R105" s="2"/>
      <c r="S105" s="2"/>
      <c r="T105" s="2"/>
      <c r="U105" s="2"/>
      <c r="V105" s="2"/>
      <c r="W105" s="2"/>
      <c r="X105" s="2"/>
      <c r="Y105" s="2"/>
    </row>
    <row r="106" spans="1:25" x14ac:dyDescent="0.25">
      <c r="A106" s="2"/>
      <c r="B106" s="18">
        <f t="shared" si="0"/>
        <v>8</v>
      </c>
      <c r="C106" s="44" t="str">
        <f>concentrate_composition!J29&amp;"_yield"</f>
        <v>Er_yield</v>
      </c>
      <c r="D106" s="45" t="s">
        <v>484</v>
      </c>
      <c r="E106" s="105">
        <f t="shared" si="3"/>
        <v>0</v>
      </c>
      <c r="F106" s="47"/>
      <c r="G106" s="48"/>
      <c r="H106" s="49" t="s">
        <v>327</v>
      </c>
      <c r="I106" s="47">
        <v>2</v>
      </c>
      <c r="J106" s="369" t="str">
        <f>"[kg/kg] mass of "&amp;concentrate_composition!O53&amp;" chloride hexahydrate produced per kg of rare earth chloride concentrate input"</f>
        <v>[kg/kg] mass of Er chloride hexahydrate produced per kg of rare earth chloride concentrate input</v>
      </c>
      <c r="K106" s="376"/>
      <c r="L106" s="376"/>
      <c r="M106" s="376"/>
      <c r="N106" s="376"/>
      <c r="O106" s="376"/>
      <c r="P106" s="377"/>
      <c r="Q106" s="2"/>
      <c r="R106" s="2"/>
      <c r="S106" s="2"/>
      <c r="T106" s="2"/>
      <c r="U106" s="2"/>
      <c r="V106" s="2"/>
      <c r="W106" s="2"/>
      <c r="X106" s="2"/>
      <c r="Y106" s="2"/>
    </row>
    <row r="107" spans="1:25" x14ac:dyDescent="0.25">
      <c r="A107" s="2"/>
      <c r="B107" s="18">
        <f t="shared" si="0"/>
        <v>8</v>
      </c>
      <c r="C107" s="44" t="str">
        <f>concentrate_composition!J30&amp;"_yield"</f>
        <v>Tm_yield</v>
      </c>
      <c r="D107" s="45" t="s">
        <v>485</v>
      </c>
      <c r="E107" s="105">
        <f t="shared" si="3"/>
        <v>0</v>
      </c>
      <c r="F107" s="47"/>
      <c r="G107" s="48"/>
      <c r="H107" s="49" t="s">
        <v>327</v>
      </c>
      <c r="I107" s="47">
        <v>2</v>
      </c>
      <c r="J107" s="369" t="str">
        <f>"[kg/kg] mass of "&amp;concentrate_composition!O54&amp;" chloride hexahydrate produced per kg of rare earth chloride concentrate input"</f>
        <v>[kg/kg] mass of Tm chloride hexahydrate produced per kg of rare earth chloride concentrate input</v>
      </c>
      <c r="K107" s="376"/>
      <c r="L107" s="376"/>
      <c r="M107" s="376"/>
      <c r="N107" s="376"/>
      <c r="O107" s="376"/>
      <c r="P107" s="377"/>
      <c r="Q107" s="2"/>
      <c r="R107" s="2"/>
      <c r="S107" s="2"/>
      <c r="T107" s="2"/>
      <c r="U107" s="2"/>
      <c r="V107" s="2"/>
      <c r="W107" s="2"/>
      <c r="X107" s="2"/>
      <c r="Y107" s="2"/>
    </row>
    <row r="108" spans="1:25" x14ac:dyDescent="0.25">
      <c r="A108" s="2"/>
      <c r="B108" s="18">
        <f t="shared" si="0"/>
        <v>8</v>
      </c>
      <c r="C108" s="44" t="str">
        <f>concentrate_composition!J31&amp;"_yield"</f>
        <v>Yb_yield</v>
      </c>
      <c r="D108" s="45" t="s">
        <v>486</v>
      </c>
      <c r="E108" s="105">
        <f t="shared" si="3"/>
        <v>0</v>
      </c>
      <c r="F108" s="47"/>
      <c r="G108" s="48"/>
      <c r="H108" s="49" t="s">
        <v>327</v>
      </c>
      <c r="I108" s="47">
        <v>2</v>
      </c>
      <c r="J108" s="369" t="str">
        <f>"[kg/kg] mass of "&amp;concentrate_composition!O55&amp;" chloride hexahydrate produced per kg of rare earth chloride concentrate input"</f>
        <v>[kg/kg] mass of Yb chloride hexahydrate produced per kg of rare earth chloride concentrate input</v>
      </c>
      <c r="K108" s="376"/>
      <c r="L108" s="376"/>
      <c r="M108" s="376"/>
      <c r="N108" s="376"/>
      <c r="O108" s="376"/>
      <c r="P108" s="377"/>
      <c r="Q108" s="2"/>
      <c r="R108" s="2"/>
      <c r="S108" s="2"/>
      <c r="T108" s="2"/>
      <c r="U108" s="2"/>
      <c r="V108" s="2"/>
      <c r="W108" s="2"/>
      <c r="X108" s="2"/>
      <c r="Y108" s="2"/>
    </row>
    <row r="109" spans="1:25" x14ac:dyDescent="0.25">
      <c r="A109" s="2"/>
      <c r="B109" s="18">
        <f t="shared" si="0"/>
        <v>8</v>
      </c>
      <c r="C109" s="44" t="str">
        <f>concentrate_composition!J32&amp;"_yield"</f>
        <v>Lu_yield</v>
      </c>
      <c r="D109" s="45" t="s">
        <v>487</v>
      </c>
      <c r="E109" s="105">
        <f t="shared" si="3"/>
        <v>0</v>
      </c>
      <c r="F109" s="47"/>
      <c r="G109" s="48"/>
      <c r="H109" s="49" t="s">
        <v>327</v>
      </c>
      <c r="I109" s="47">
        <v>2</v>
      </c>
      <c r="J109" s="369" t="str">
        <f>"[kg/kg] mass of "&amp;concentrate_composition!O56&amp;" chloride hexahydrate produced per kg of rare earth chloride concentrate input"</f>
        <v>[kg/kg] mass of Lu chloride hexahydrate produced per kg of rare earth chloride concentrate input</v>
      </c>
      <c r="K109" s="376"/>
      <c r="L109" s="376"/>
      <c r="M109" s="376"/>
      <c r="N109" s="376"/>
      <c r="O109" s="376"/>
      <c r="P109" s="377"/>
      <c r="Q109" s="2"/>
      <c r="R109" s="2"/>
      <c r="S109" s="2"/>
      <c r="T109" s="2"/>
      <c r="U109" s="2"/>
      <c r="V109" s="2"/>
      <c r="W109" s="2"/>
      <c r="X109" s="2"/>
      <c r="Y109" s="2"/>
    </row>
    <row r="110" spans="1:25" x14ac:dyDescent="0.25">
      <c r="A110" s="2"/>
      <c r="B110" s="18">
        <f t="shared" si="0"/>
        <v>7</v>
      </c>
      <c r="C110" s="44" t="str">
        <f>concentrate_composition!J33&amp;"_yield"</f>
        <v>Y_yield</v>
      </c>
      <c r="D110" s="45" t="s">
        <v>488</v>
      </c>
      <c r="E110" s="105">
        <f t="shared" si="3"/>
        <v>0</v>
      </c>
      <c r="F110" s="47"/>
      <c r="G110" s="48"/>
      <c r="H110" s="49" t="s">
        <v>327</v>
      </c>
      <c r="I110" s="47">
        <v>2</v>
      </c>
      <c r="J110" s="369" t="str">
        <f>"[kg/kg] mass of "&amp;concentrate_composition!O57&amp;" chloride hexahydrate produced per kg of rare earth chloride concentrate input"</f>
        <v>[kg/kg] mass of Y chloride hexahydrate produced per kg of rare earth chloride concentrate input</v>
      </c>
      <c r="K110" s="376"/>
      <c r="L110" s="376"/>
      <c r="M110" s="376"/>
      <c r="N110" s="376"/>
      <c r="O110" s="376"/>
      <c r="P110" s="377"/>
      <c r="Q110" s="2"/>
      <c r="R110" s="2"/>
      <c r="S110" s="2"/>
      <c r="T110" s="2"/>
      <c r="U110" s="2"/>
      <c r="V110" s="2"/>
      <c r="W110" s="2"/>
      <c r="X110" s="2"/>
      <c r="Y110" s="2"/>
    </row>
    <row r="111" spans="1:25" ht="39" x14ac:dyDescent="0.25">
      <c r="A111" s="2"/>
      <c r="B111" s="18"/>
      <c r="C111" s="44" t="s">
        <v>752</v>
      </c>
      <c r="D111" s="45" t="s">
        <v>753</v>
      </c>
      <c r="E111" s="105">
        <f>E96+E97+E98+E99+E100+E101+E102+E103+E104+E105+E106+E107+E108+E109+E110</f>
        <v>0.4615072076180235</v>
      </c>
      <c r="F111" s="47"/>
      <c r="G111" s="48"/>
      <c r="H111" s="49" t="s">
        <v>327</v>
      </c>
      <c r="I111" s="47">
        <v>2</v>
      </c>
      <c r="J111" s="318" t="s">
        <v>754</v>
      </c>
      <c r="K111" s="319"/>
      <c r="L111" s="319"/>
      <c r="M111" s="319"/>
      <c r="N111" s="319"/>
      <c r="O111" s="319"/>
      <c r="P111" s="320"/>
      <c r="Q111" s="2"/>
      <c r="R111" s="2"/>
      <c r="S111" s="2"/>
      <c r="T111" s="2"/>
      <c r="U111" s="2"/>
      <c r="V111" s="2"/>
      <c r="W111" s="2"/>
      <c r="X111" s="2"/>
      <c r="Y111" s="2"/>
    </row>
    <row r="112" spans="1:25" x14ac:dyDescent="0.25">
      <c r="A112" s="2"/>
      <c r="B112" s="18">
        <f t="shared" si="0"/>
        <v>12</v>
      </c>
      <c r="C112" s="44" t="s">
        <v>491</v>
      </c>
      <c r="D112" s="45"/>
      <c r="E112" s="93">
        <f>material_use!B51</f>
        <v>0.37925204078034652</v>
      </c>
      <c r="F112" s="47"/>
      <c r="G112" s="48"/>
      <c r="H112" s="49" t="s">
        <v>327</v>
      </c>
      <c r="I112" s="47">
        <v>2</v>
      </c>
      <c r="J112" s="369" t="s">
        <v>492</v>
      </c>
      <c r="K112" s="376"/>
      <c r="L112" s="376"/>
      <c r="M112" s="376"/>
      <c r="N112" s="376"/>
      <c r="O112" s="376"/>
      <c r="P112" s="377"/>
      <c r="Q112" s="2"/>
      <c r="R112" s="2"/>
      <c r="S112" s="2"/>
      <c r="T112" s="2"/>
      <c r="U112" s="2"/>
      <c r="V112" s="2"/>
      <c r="W112" s="2"/>
      <c r="X112" s="2"/>
      <c r="Y112" s="2"/>
    </row>
    <row r="113" spans="1:25" x14ac:dyDescent="0.25">
      <c r="A113" s="2"/>
      <c r="B113" s="18">
        <f t="shared" si="0"/>
        <v>8</v>
      </c>
      <c r="C113" s="44" t="s">
        <v>490</v>
      </c>
      <c r="D113" s="45" t="s">
        <v>770</v>
      </c>
      <c r="E113" s="105">
        <f>(E111/E27)/E112*(1-E112)</f>
        <v>0.78685485532861354</v>
      </c>
      <c r="F113" s="47"/>
      <c r="G113" s="48"/>
      <c r="H113" s="49" t="s">
        <v>327</v>
      </c>
      <c r="I113" s="47"/>
      <c r="J113" s="369" t="s">
        <v>501</v>
      </c>
      <c r="K113" s="376"/>
      <c r="L113" s="376"/>
      <c r="M113" s="376"/>
      <c r="N113" s="376"/>
      <c r="O113" s="376"/>
      <c r="P113" s="377"/>
      <c r="Q113" s="2"/>
      <c r="R113" s="2"/>
      <c r="S113" s="2"/>
      <c r="T113" s="2"/>
      <c r="U113" s="2"/>
      <c r="V113" s="2"/>
      <c r="W113" s="2"/>
      <c r="X113" s="2"/>
      <c r="Y113" s="2"/>
    </row>
    <row r="114" spans="1:25" x14ac:dyDescent="0.25">
      <c r="A114" s="2"/>
      <c r="B114" s="18">
        <f t="shared" si="0"/>
        <v>12</v>
      </c>
      <c r="C114" s="44" t="s">
        <v>496</v>
      </c>
      <c r="D114" s="45" t="s">
        <v>498</v>
      </c>
      <c r="E114" s="93">
        <f>E28*E64</f>
        <v>5.6246525458404662E-5</v>
      </c>
      <c r="F114" s="47"/>
      <c r="G114" s="48"/>
      <c r="H114" s="49" t="s">
        <v>327</v>
      </c>
      <c r="I114" s="47" t="s">
        <v>751</v>
      </c>
      <c r="J114" s="369" t="s">
        <v>497</v>
      </c>
      <c r="K114" s="376"/>
      <c r="L114" s="376"/>
      <c r="M114" s="376"/>
      <c r="N114" s="376"/>
      <c r="O114" s="376"/>
      <c r="P114" s="377"/>
      <c r="Q114" s="2"/>
      <c r="R114" s="2"/>
      <c r="S114" s="2"/>
      <c r="T114" s="2"/>
      <c r="U114" s="2"/>
      <c r="V114" s="2"/>
      <c r="W114" s="2"/>
      <c r="X114" s="2"/>
      <c r="Y114" s="2"/>
    </row>
    <row r="115" spans="1:25" x14ac:dyDescent="0.25">
      <c r="A115" s="2"/>
      <c r="B115" s="18">
        <f t="shared" si="0"/>
        <v>12</v>
      </c>
      <c r="C115" s="44" t="s">
        <v>523</v>
      </c>
      <c r="D115" s="45"/>
      <c r="E115" s="105">
        <v>1E-8</v>
      </c>
      <c r="F115" s="47"/>
      <c r="G115" s="48"/>
      <c r="H115" s="49" t="s">
        <v>420</v>
      </c>
      <c r="I115" s="47"/>
      <c r="J115" s="369" t="s">
        <v>525</v>
      </c>
      <c r="K115" s="376"/>
      <c r="L115" s="376"/>
      <c r="M115" s="376"/>
      <c r="N115" s="376"/>
      <c r="O115" s="376"/>
      <c r="P115" s="377"/>
      <c r="Q115" s="2"/>
      <c r="R115" s="2"/>
      <c r="S115" s="2"/>
      <c r="T115" s="2"/>
      <c r="U115" s="2"/>
      <c r="V115" s="2"/>
      <c r="W115" s="2"/>
      <c r="X115" s="2"/>
      <c r="Y115" s="2"/>
    </row>
    <row r="116" spans="1:25" x14ac:dyDescent="0.25">
      <c r="A116" s="2"/>
      <c r="B116" s="18">
        <f t="shared" si="0"/>
        <v>10</v>
      </c>
      <c r="C116" s="44" t="s">
        <v>524</v>
      </c>
      <c r="D116" s="45" t="s">
        <v>530</v>
      </c>
      <c r="E116" s="105">
        <f>E115*E63</f>
        <v>2.2000000000000001E-7</v>
      </c>
      <c r="F116" s="47"/>
      <c r="G116" s="48"/>
      <c r="H116" s="49" t="s">
        <v>327</v>
      </c>
      <c r="I116" s="47"/>
      <c r="J116" s="369" t="s">
        <v>526</v>
      </c>
      <c r="K116" s="376"/>
      <c r="L116" s="376"/>
      <c r="M116" s="376"/>
      <c r="N116" s="376"/>
      <c r="O116" s="376"/>
      <c r="P116" s="377"/>
      <c r="Q116" s="2"/>
      <c r="R116" s="2"/>
      <c r="S116" s="2"/>
      <c r="T116" s="2"/>
      <c r="U116" s="2"/>
      <c r="V116" s="2"/>
      <c r="W116" s="2"/>
      <c r="X116" s="2"/>
      <c r="Y116" s="2"/>
    </row>
    <row r="117" spans="1:25" x14ac:dyDescent="0.25">
      <c r="A117" s="2"/>
      <c r="B117" s="18">
        <f t="shared" si="0"/>
        <v>9</v>
      </c>
      <c r="C117" s="44" t="s">
        <v>522</v>
      </c>
      <c r="D117" s="45" t="s">
        <v>529</v>
      </c>
      <c r="E117" s="105">
        <f>E113-E116</f>
        <v>0.78685463532861355</v>
      </c>
      <c r="F117" s="47"/>
      <c r="G117" s="48"/>
      <c r="H117" s="49" t="s">
        <v>327</v>
      </c>
      <c r="I117" s="47"/>
      <c r="J117" s="369" t="s">
        <v>528</v>
      </c>
      <c r="K117" s="376"/>
      <c r="L117" s="376"/>
      <c r="M117" s="376"/>
      <c r="N117" s="376"/>
      <c r="O117" s="376"/>
      <c r="P117" s="377"/>
      <c r="Q117" s="2"/>
      <c r="R117" s="2"/>
      <c r="S117" s="2"/>
      <c r="T117" s="2"/>
      <c r="U117" s="2"/>
      <c r="V117" s="2"/>
      <c r="W117" s="2"/>
      <c r="X117" s="2"/>
      <c r="Y117" s="2"/>
    </row>
    <row r="118" spans="1:25" x14ac:dyDescent="0.25">
      <c r="A118" s="2"/>
      <c r="B118" s="18">
        <f t="shared" si="0"/>
        <v>13</v>
      </c>
      <c r="C118" s="44" t="s">
        <v>620</v>
      </c>
      <c r="D118" s="45"/>
      <c r="E118" s="309">
        <f>material_use!Q20</f>
        <v>9.9176894297761655E-6</v>
      </c>
      <c r="F118" s="47"/>
      <c r="G118" s="48"/>
      <c r="H118" s="49" t="s">
        <v>420</v>
      </c>
      <c r="I118" s="47">
        <v>4</v>
      </c>
      <c r="J118" s="369" t="s">
        <v>622</v>
      </c>
      <c r="K118" s="376"/>
      <c r="L118" s="376"/>
      <c r="M118" s="376"/>
      <c r="N118" s="376"/>
      <c r="O118" s="376"/>
      <c r="P118" s="377"/>
      <c r="Q118" s="2"/>
      <c r="R118" s="2"/>
      <c r="S118" s="2"/>
      <c r="T118" s="2"/>
      <c r="U118" s="2"/>
      <c r="V118" s="2"/>
      <c r="W118" s="2"/>
      <c r="X118" s="2"/>
      <c r="Y118" s="2"/>
    </row>
    <row r="119" spans="1:25" x14ac:dyDescent="0.25">
      <c r="A119" s="2"/>
      <c r="B119" s="18">
        <f t="shared" si="0"/>
        <v>11</v>
      </c>
      <c r="C119" s="44" t="s">
        <v>618</v>
      </c>
      <c r="D119" s="45" t="s">
        <v>621</v>
      </c>
      <c r="E119" s="309">
        <f>E118*E64</f>
        <v>4.5621371376970362E-4</v>
      </c>
      <c r="F119" s="47"/>
      <c r="G119" s="48"/>
      <c r="H119" s="49" t="s">
        <v>327</v>
      </c>
      <c r="I119" s="47" t="s">
        <v>751</v>
      </c>
      <c r="J119" s="369" t="s">
        <v>619</v>
      </c>
      <c r="K119" s="376"/>
      <c r="L119" s="376"/>
      <c r="M119" s="376"/>
      <c r="N119" s="376"/>
      <c r="O119" s="376"/>
      <c r="P119" s="377"/>
      <c r="Q119" s="2"/>
      <c r="R119" s="2"/>
      <c r="S119" s="2"/>
      <c r="T119" s="2"/>
      <c r="U119" s="2"/>
      <c r="V119" s="2"/>
      <c r="W119" s="2"/>
      <c r="X119" s="2"/>
      <c r="Y119" s="2"/>
    </row>
    <row r="120" spans="1:25" x14ac:dyDescent="0.25">
      <c r="A120" s="2"/>
      <c r="B120" s="18">
        <f t="shared" si="0"/>
        <v>9</v>
      </c>
      <c r="C120" s="44" t="s">
        <v>631</v>
      </c>
      <c r="D120" s="45"/>
      <c r="E120" s="295">
        <f>material_use!Q27</f>
        <v>4.1088811118644128E-4</v>
      </c>
      <c r="F120" s="47"/>
      <c r="G120" s="48"/>
      <c r="H120" s="49" t="s">
        <v>420</v>
      </c>
      <c r="I120" s="47"/>
      <c r="J120" s="369" t="s">
        <v>633</v>
      </c>
      <c r="K120" s="376"/>
      <c r="L120" s="376"/>
      <c r="M120" s="376"/>
      <c r="N120" s="376"/>
      <c r="O120" s="376"/>
      <c r="P120" s="377"/>
      <c r="Q120" s="2"/>
      <c r="R120" s="2"/>
      <c r="S120" s="2"/>
      <c r="T120" s="2"/>
      <c r="U120" s="2"/>
      <c r="V120" s="2"/>
      <c r="W120" s="2"/>
      <c r="X120" s="2"/>
      <c r="Y120" s="2"/>
    </row>
    <row r="121" spans="1:25" x14ac:dyDescent="0.25">
      <c r="A121" s="2"/>
      <c r="B121" s="18">
        <f t="shared" si="0"/>
        <v>7</v>
      </c>
      <c r="C121" s="44" t="s">
        <v>632</v>
      </c>
      <c r="D121" s="45" t="s">
        <v>637</v>
      </c>
      <c r="E121" s="295">
        <f>E120*E64</f>
        <v>1.8900853114576299E-2</v>
      </c>
      <c r="F121" s="47"/>
      <c r="G121" s="48"/>
      <c r="H121" s="49" t="s">
        <v>327</v>
      </c>
      <c r="I121" s="47" t="s">
        <v>751</v>
      </c>
      <c r="J121" s="369" t="s">
        <v>634</v>
      </c>
      <c r="K121" s="376"/>
      <c r="L121" s="376"/>
      <c r="M121" s="376"/>
      <c r="N121" s="376"/>
      <c r="O121" s="376"/>
      <c r="P121" s="377"/>
      <c r="Q121" s="2"/>
      <c r="R121" s="2"/>
      <c r="S121" s="2"/>
      <c r="T121" s="2"/>
      <c r="U121" s="2"/>
      <c r="V121" s="2"/>
      <c r="W121" s="2"/>
      <c r="X121" s="2"/>
      <c r="Y121" s="2"/>
    </row>
    <row r="122" spans="1:25" x14ac:dyDescent="0.25">
      <c r="A122" s="2"/>
      <c r="B122" s="18">
        <f t="shared" si="0"/>
        <v>9</v>
      </c>
      <c r="C122" s="44" t="s">
        <v>773</v>
      </c>
      <c r="D122" s="45" t="s">
        <v>775</v>
      </c>
      <c r="E122" s="295">
        <f>E111/E27</f>
        <v>0.48073667460210784</v>
      </c>
      <c r="F122" s="47"/>
      <c r="G122" s="48"/>
      <c r="H122" s="49" t="s">
        <v>327</v>
      </c>
      <c r="I122" s="47">
        <v>2</v>
      </c>
      <c r="J122" s="369" t="s">
        <v>774</v>
      </c>
      <c r="K122" s="376"/>
      <c r="L122" s="376"/>
      <c r="M122" s="376"/>
      <c r="N122" s="376"/>
      <c r="O122" s="376"/>
      <c r="P122" s="377"/>
      <c r="Q122" s="2"/>
      <c r="R122" s="2"/>
      <c r="S122" s="2"/>
      <c r="T122" s="2"/>
      <c r="U122" s="2"/>
      <c r="V122" s="2"/>
      <c r="W122" s="2"/>
      <c r="X122" s="2"/>
      <c r="Y122" s="2"/>
    </row>
    <row r="123" spans="1:25" x14ac:dyDescent="0.25">
      <c r="A123" s="2"/>
      <c r="B123" s="18">
        <f t="shared" si="0"/>
        <v>0</v>
      </c>
      <c r="C123" s="44"/>
      <c r="D123" s="45"/>
      <c r="E123" s="295"/>
      <c r="F123" s="47"/>
      <c r="G123" s="48"/>
      <c r="H123" s="49"/>
      <c r="I123" s="47"/>
      <c r="J123" s="369"/>
      <c r="K123" s="376"/>
      <c r="L123" s="376"/>
      <c r="M123" s="376"/>
      <c r="N123" s="376"/>
      <c r="O123" s="376"/>
      <c r="P123" s="377"/>
      <c r="Q123" s="2"/>
      <c r="R123" s="2"/>
      <c r="S123" s="2"/>
      <c r="T123" s="2"/>
      <c r="U123" s="2"/>
      <c r="V123" s="2"/>
      <c r="W123" s="2"/>
      <c r="X123" s="2"/>
      <c r="Y123" s="2"/>
    </row>
    <row r="124" spans="1:25" x14ac:dyDescent="0.25">
      <c r="A124" s="2"/>
      <c r="B124" s="18">
        <f t="shared" si="0"/>
        <v>0</v>
      </c>
      <c r="C124" s="44"/>
      <c r="D124" s="45"/>
      <c r="E124" s="46"/>
      <c r="F124" s="47"/>
      <c r="G124" s="48"/>
      <c r="H124" s="49"/>
      <c r="I124" s="47"/>
      <c r="J124" s="369"/>
      <c r="K124" s="376"/>
      <c r="L124" s="376"/>
      <c r="M124" s="376"/>
      <c r="N124" s="376"/>
      <c r="O124" s="376"/>
      <c r="P124" s="377"/>
      <c r="Q124" s="2"/>
      <c r="R124" s="2"/>
      <c r="S124" s="2"/>
      <c r="T124" s="2"/>
      <c r="U124" s="2"/>
      <c r="V124" s="2"/>
      <c r="W124" s="2"/>
      <c r="X124" s="2"/>
      <c r="Y124" s="2"/>
    </row>
    <row r="125" spans="1:25" x14ac:dyDescent="0.25">
      <c r="A125" s="2"/>
      <c r="B125" s="9"/>
      <c r="C125" s="50" t="s">
        <v>68</v>
      </c>
      <c r="D125" s="51" t="s">
        <v>69</v>
      </c>
      <c r="E125" s="52"/>
      <c r="F125" s="52"/>
      <c r="G125" s="52"/>
      <c r="H125" s="53"/>
      <c r="I125" s="54"/>
      <c r="J125" s="55"/>
      <c r="K125" s="55"/>
      <c r="L125" s="55"/>
      <c r="M125" s="55"/>
      <c r="N125" s="55"/>
      <c r="O125" s="55"/>
      <c r="P125" s="56"/>
      <c r="Q125" s="2"/>
      <c r="R125" s="2"/>
      <c r="S125" s="2"/>
      <c r="T125" s="2"/>
      <c r="U125" s="2"/>
      <c r="V125" s="2"/>
      <c r="W125" s="2"/>
      <c r="X125" s="2"/>
      <c r="Y125" s="2"/>
    </row>
    <row r="126" spans="1:25" ht="15.75" thickBot="1" x14ac:dyDescent="0.3">
      <c r="A126" s="2"/>
      <c r="B126" s="9"/>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thickBot="1" x14ac:dyDescent="0.3">
      <c r="A127" s="32"/>
      <c r="B127" s="362" t="s">
        <v>70</v>
      </c>
      <c r="C127" s="363"/>
      <c r="D127" s="363"/>
      <c r="E127" s="363"/>
      <c r="F127" s="363"/>
      <c r="G127" s="363"/>
      <c r="H127" s="363"/>
      <c r="I127" s="363"/>
      <c r="J127" s="363"/>
      <c r="K127" s="363"/>
      <c r="L127" s="363"/>
      <c r="M127" s="363"/>
      <c r="N127" s="363"/>
      <c r="O127" s="363"/>
      <c r="P127" s="364"/>
      <c r="Q127" s="32"/>
      <c r="R127" s="32"/>
      <c r="S127" s="32"/>
      <c r="T127" s="32"/>
      <c r="U127" s="32"/>
      <c r="V127" s="32"/>
      <c r="W127" s="32"/>
      <c r="X127" s="32"/>
      <c r="Y127" s="32"/>
    </row>
    <row r="128" spans="1:25" x14ac:dyDescent="0.25">
      <c r="A128" s="2"/>
      <c r="B128" s="9"/>
      <c r="C128" s="2"/>
      <c r="D128" s="2"/>
      <c r="E128" s="2"/>
      <c r="F128" s="2"/>
      <c r="G128" s="2"/>
      <c r="H128" s="42" t="s">
        <v>71</v>
      </c>
      <c r="I128" s="2"/>
      <c r="J128" s="2"/>
      <c r="K128" s="2"/>
      <c r="L128" s="2"/>
      <c r="M128" s="2"/>
      <c r="N128" s="2"/>
      <c r="O128" s="2"/>
      <c r="P128" s="2"/>
      <c r="Q128" s="2"/>
      <c r="R128" s="2"/>
      <c r="S128" s="2"/>
      <c r="T128" s="2"/>
      <c r="U128" s="2"/>
      <c r="V128" s="2"/>
      <c r="W128" s="2"/>
      <c r="X128" s="2"/>
      <c r="Y128" s="2"/>
    </row>
    <row r="129" spans="1:25" x14ac:dyDescent="0.25">
      <c r="A129" s="2"/>
      <c r="B129" s="9"/>
      <c r="C129" s="43" t="s">
        <v>72</v>
      </c>
      <c r="D129" s="43" t="s">
        <v>73</v>
      </c>
      <c r="E129" s="43" t="s">
        <v>62</v>
      </c>
      <c r="F129" s="43" t="s">
        <v>74</v>
      </c>
      <c r="G129" s="43" t="s">
        <v>72</v>
      </c>
      <c r="H129" s="43" t="s">
        <v>65</v>
      </c>
      <c r="I129" s="43" t="s">
        <v>75</v>
      </c>
      <c r="J129" s="43" t="s">
        <v>76</v>
      </c>
      <c r="K129" s="43" t="s">
        <v>77</v>
      </c>
      <c r="L129" s="43" t="s">
        <v>78</v>
      </c>
      <c r="M129" s="43" t="s">
        <v>66</v>
      </c>
      <c r="N129" s="380" t="s">
        <v>67</v>
      </c>
      <c r="O129" s="380"/>
      <c r="P129" s="380"/>
      <c r="Q129" s="2"/>
      <c r="R129" s="2"/>
      <c r="S129" s="2"/>
      <c r="T129" s="2"/>
      <c r="U129" s="2"/>
      <c r="V129" s="2"/>
      <c r="W129" s="2"/>
      <c r="X129" s="32"/>
      <c r="Y129" s="32"/>
    </row>
    <row r="130" spans="1:25" ht="14.25" customHeight="1" x14ac:dyDescent="0.25">
      <c r="A130" s="2"/>
      <c r="B130" s="9"/>
      <c r="C130" s="57" t="s">
        <v>773</v>
      </c>
      <c r="D130" s="58" t="s">
        <v>416</v>
      </c>
      <c r="E130" s="59">
        <v>1</v>
      </c>
      <c r="F130" s="59" t="s">
        <v>44</v>
      </c>
      <c r="G130" s="60">
        <f t="shared" ref="G130:G135" si="4">IF($C130="",1,VLOOKUP($C130,$C$22:$H$125,3,FALSE))</f>
        <v>0.48073667460210784</v>
      </c>
      <c r="H130" s="61" t="str">
        <f t="shared" ref="H130:H135" si="5">IF($C130="","",VLOOKUP($C130,$C$22:$H$125,6,FALSE))</f>
        <v>kg/kg</v>
      </c>
      <c r="I130" s="292">
        <f>IF(D130="","",E130*G130*$D$5)</f>
        <v>0.48073667460210784</v>
      </c>
      <c r="J130" s="59" t="s">
        <v>44</v>
      </c>
      <c r="K130" s="62" t="s">
        <v>93</v>
      </c>
      <c r="L130" s="59" t="s">
        <v>108</v>
      </c>
      <c r="M130" s="63">
        <v>2</v>
      </c>
      <c r="N130" s="381" t="s">
        <v>417</v>
      </c>
      <c r="O130" s="382"/>
      <c r="P130" s="382"/>
      <c r="Q130" s="2"/>
      <c r="R130" s="2"/>
      <c r="S130" s="2"/>
      <c r="T130" s="2"/>
      <c r="U130" s="2"/>
      <c r="V130" s="2"/>
      <c r="W130" s="2"/>
      <c r="X130" s="32"/>
      <c r="Y130" s="32"/>
    </row>
    <row r="131" spans="1:25" x14ac:dyDescent="0.25">
      <c r="A131" s="2"/>
      <c r="B131" s="9"/>
      <c r="C131" s="44" t="s">
        <v>496</v>
      </c>
      <c r="D131" s="64" t="s">
        <v>499</v>
      </c>
      <c r="E131" s="59">
        <v>1</v>
      </c>
      <c r="F131" s="59" t="s">
        <v>44</v>
      </c>
      <c r="G131" s="60">
        <f t="shared" si="4"/>
        <v>5.6246525458404662E-5</v>
      </c>
      <c r="H131" s="61" t="str">
        <f t="shared" si="5"/>
        <v>kg/kg</v>
      </c>
      <c r="I131" s="292">
        <f t="shared" ref="I131:I135" si="6">IF(D131="","",E131*G131*$D$5)</f>
        <v>5.6246525458404662E-5</v>
      </c>
      <c r="J131" s="59" t="s">
        <v>44</v>
      </c>
      <c r="K131" s="62" t="s">
        <v>93</v>
      </c>
      <c r="L131" s="59" t="s">
        <v>102</v>
      </c>
      <c r="M131" s="47" t="s">
        <v>751</v>
      </c>
      <c r="N131" s="381" t="s">
        <v>500</v>
      </c>
      <c r="O131" s="382"/>
      <c r="P131" s="382"/>
      <c r="Q131" s="2"/>
      <c r="R131" s="2"/>
      <c r="S131" s="2"/>
      <c r="T131" s="2"/>
      <c r="U131" s="2"/>
      <c r="V131" s="2"/>
      <c r="W131" s="2"/>
      <c r="X131" s="32"/>
      <c r="Y131" s="32"/>
    </row>
    <row r="132" spans="1:25" x14ac:dyDescent="0.25">
      <c r="A132" s="2"/>
      <c r="B132" s="9"/>
      <c r="C132" s="65" t="s">
        <v>490</v>
      </c>
      <c r="D132" s="66" t="s">
        <v>79</v>
      </c>
      <c r="E132" s="59">
        <v>1</v>
      </c>
      <c r="F132" s="59" t="s">
        <v>44</v>
      </c>
      <c r="G132" s="60">
        <f t="shared" si="4"/>
        <v>0.78685485532861354</v>
      </c>
      <c r="H132" s="61" t="str">
        <f t="shared" si="5"/>
        <v>kg/kg</v>
      </c>
      <c r="I132" s="292">
        <f t="shared" si="6"/>
        <v>0.78685485532861354</v>
      </c>
      <c r="J132" s="59" t="s">
        <v>44</v>
      </c>
      <c r="K132" s="62" t="s">
        <v>98</v>
      </c>
      <c r="L132" s="59" t="s">
        <v>106</v>
      </c>
      <c r="M132" s="63"/>
      <c r="N132" s="381" t="s">
        <v>545</v>
      </c>
      <c r="O132" s="381"/>
      <c r="P132" s="381"/>
      <c r="Q132" s="2"/>
      <c r="R132" s="2"/>
      <c r="S132" s="2"/>
      <c r="T132" s="2"/>
      <c r="U132" s="2"/>
      <c r="V132" s="2"/>
      <c r="W132" s="2"/>
      <c r="X132" s="32"/>
      <c r="Y132" s="32"/>
    </row>
    <row r="133" spans="1:25" x14ac:dyDescent="0.25">
      <c r="A133" s="2"/>
      <c r="B133" s="9"/>
      <c r="C133" s="65" t="s">
        <v>618</v>
      </c>
      <c r="D133" s="66" t="s">
        <v>579</v>
      </c>
      <c r="E133" s="59">
        <v>1</v>
      </c>
      <c r="F133" s="59" t="s">
        <v>44</v>
      </c>
      <c r="G133" s="60">
        <f t="shared" si="4"/>
        <v>4.5621371376970362E-4</v>
      </c>
      <c r="H133" s="61" t="str">
        <f t="shared" si="5"/>
        <v>kg/kg</v>
      </c>
      <c r="I133" s="292">
        <f t="shared" si="6"/>
        <v>4.5621371376970362E-4</v>
      </c>
      <c r="J133" s="59" t="s">
        <v>44</v>
      </c>
      <c r="K133" s="62" t="s">
        <v>93</v>
      </c>
      <c r="L133" s="59" t="s">
        <v>102</v>
      </c>
      <c r="M133" s="47" t="s">
        <v>751</v>
      </c>
      <c r="N133" s="381" t="s">
        <v>635</v>
      </c>
      <c r="O133" s="381"/>
      <c r="P133" s="381"/>
      <c r="Q133" s="2"/>
      <c r="R133" s="2"/>
      <c r="S133" s="2"/>
      <c r="T133" s="2"/>
      <c r="U133" s="2"/>
      <c r="V133" s="2"/>
      <c r="W133" s="2"/>
      <c r="X133" s="32"/>
      <c r="Y133" s="32"/>
    </row>
    <row r="134" spans="1:25" x14ac:dyDescent="0.25">
      <c r="A134" s="2"/>
      <c r="B134" s="9"/>
      <c r="C134" s="65" t="s">
        <v>632</v>
      </c>
      <c r="D134" s="66" t="s">
        <v>731</v>
      </c>
      <c r="E134" s="59">
        <v>1</v>
      </c>
      <c r="F134" s="59" t="s">
        <v>44</v>
      </c>
      <c r="G134" s="60">
        <f t="shared" si="4"/>
        <v>1.8900853114576299E-2</v>
      </c>
      <c r="H134" s="61" t="str">
        <f t="shared" si="5"/>
        <v>kg/kg</v>
      </c>
      <c r="I134" s="292">
        <f t="shared" ref="I134" si="7">IF(D134="","",E134*G134*$D$5)</f>
        <v>1.8900853114576299E-2</v>
      </c>
      <c r="J134" s="59" t="s">
        <v>44</v>
      </c>
      <c r="K134" s="62" t="s">
        <v>93</v>
      </c>
      <c r="L134" s="59" t="s">
        <v>102</v>
      </c>
      <c r="M134" s="47" t="s">
        <v>751</v>
      </c>
      <c r="N134" s="381" t="s">
        <v>636</v>
      </c>
      <c r="O134" s="381"/>
      <c r="P134" s="381"/>
      <c r="Q134" s="2"/>
      <c r="R134" s="2"/>
      <c r="S134" s="2"/>
      <c r="T134" s="2"/>
      <c r="U134" s="2"/>
      <c r="V134" s="2"/>
      <c r="W134" s="2"/>
      <c r="X134" s="32"/>
      <c r="Y134" s="32"/>
    </row>
    <row r="135" spans="1:25" x14ac:dyDescent="0.25">
      <c r="A135" s="2"/>
      <c r="B135" s="9"/>
      <c r="C135" s="59" t="s">
        <v>473</v>
      </c>
      <c r="D135" s="65" t="s">
        <v>732</v>
      </c>
      <c r="E135" s="59">
        <v>1</v>
      </c>
      <c r="F135" s="59" t="s">
        <v>493</v>
      </c>
      <c r="G135" s="60">
        <f t="shared" si="4"/>
        <v>1.2214396849729101</v>
      </c>
      <c r="H135" s="61" t="str">
        <f t="shared" si="5"/>
        <v>Wh</v>
      </c>
      <c r="I135" s="292">
        <f t="shared" si="6"/>
        <v>1.2214396849729101</v>
      </c>
      <c r="J135" s="59" t="s">
        <v>493</v>
      </c>
      <c r="K135" s="62" t="s">
        <v>93</v>
      </c>
      <c r="L135" s="59" t="s">
        <v>97</v>
      </c>
      <c r="M135" s="47" t="s">
        <v>751</v>
      </c>
      <c r="N135" s="381" t="s">
        <v>733</v>
      </c>
      <c r="O135" s="382"/>
      <c r="P135" s="382"/>
      <c r="Q135" s="2"/>
      <c r="R135" s="2"/>
      <c r="S135" s="2"/>
      <c r="T135" s="2"/>
      <c r="U135" s="2"/>
      <c r="V135" s="2"/>
      <c r="W135" s="2"/>
      <c r="X135" s="32"/>
      <c r="Y135" s="32"/>
    </row>
    <row r="136" spans="1:25" x14ac:dyDescent="0.25">
      <c r="A136" s="2"/>
      <c r="B136" s="9"/>
      <c r="C136" s="67" t="s">
        <v>68</v>
      </c>
      <c r="D136" s="51" t="s">
        <v>69</v>
      </c>
      <c r="E136" s="68" t="s">
        <v>80</v>
      </c>
      <c r="F136" s="51"/>
      <c r="G136" s="51"/>
      <c r="H136" s="51"/>
      <c r="I136" s="68" t="s">
        <v>81</v>
      </c>
      <c r="J136" s="51"/>
      <c r="K136" s="68"/>
      <c r="L136" s="51" t="s">
        <v>82</v>
      </c>
      <c r="M136" s="69"/>
      <c r="N136" s="378"/>
      <c r="O136" s="378"/>
      <c r="P136" s="378"/>
      <c r="Q136" s="2"/>
      <c r="R136" s="2"/>
      <c r="S136" s="2"/>
      <c r="T136" s="2"/>
      <c r="U136" s="2"/>
      <c r="V136" s="2"/>
      <c r="W136" s="2"/>
      <c r="X136" s="32"/>
      <c r="Y136" s="32"/>
    </row>
    <row r="137" spans="1:25" ht="15.75" thickBot="1" x14ac:dyDescent="0.3">
      <c r="A137" s="2"/>
      <c r="B137" s="9"/>
      <c r="C137" s="2"/>
      <c r="D137" s="2"/>
      <c r="E137" s="2"/>
      <c r="F137" s="2"/>
      <c r="G137" s="2"/>
      <c r="H137" s="2"/>
      <c r="I137" s="2"/>
      <c r="J137" s="2"/>
      <c r="K137" s="2"/>
      <c r="L137" s="2"/>
      <c r="M137" s="2"/>
      <c r="N137" s="2"/>
      <c r="O137" s="2"/>
      <c r="P137" s="2"/>
      <c r="Q137" s="2"/>
      <c r="R137" s="2"/>
      <c r="S137" s="2"/>
      <c r="T137" s="2"/>
      <c r="U137" s="2"/>
      <c r="V137" s="2"/>
      <c r="W137" s="2"/>
      <c r="X137" s="32"/>
      <c r="Y137" s="32"/>
    </row>
    <row r="138" spans="1:25" ht="15.75" thickBot="1" x14ac:dyDescent="0.3">
      <c r="A138" s="32"/>
      <c r="B138" s="362" t="s">
        <v>83</v>
      </c>
      <c r="C138" s="363"/>
      <c r="D138" s="363"/>
      <c r="E138" s="363"/>
      <c r="F138" s="363"/>
      <c r="G138" s="363"/>
      <c r="H138" s="363"/>
      <c r="I138" s="363"/>
      <c r="J138" s="363"/>
      <c r="K138" s="363"/>
      <c r="L138" s="363"/>
      <c r="M138" s="363"/>
      <c r="N138" s="363"/>
      <c r="O138" s="363"/>
      <c r="P138" s="364"/>
      <c r="Q138" s="32"/>
      <c r="R138" s="32"/>
      <c r="S138" s="32"/>
      <c r="T138" s="32"/>
      <c r="U138" s="32"/>
      <c r="V138" s="32"/>
      <c r="W138" s="32"/>
      <c r="X138" s="32"/>
      <c r="Y138" s="32"/>
    </row>
    <row r="139" spans="1:25" x14ac:dyDescent="0.25">
      <c r="A139" s="2"/>
      <c r="B139" s="9"/>
      <c r="C139" s="2"/>
      <c r="D139" s="2"/>
      <c r="E139" s="2"/>
      <c r="F139" s="2"/>
      <c r="G139" s="2"/>
      <c r="H139" s="42" t="s">
        <v>84</v>
      </c>
      <c r="I139" s="2"/>
      <c r="J139" s="2"/>
      <c r="K139" s="2"/>
      <c r="L139" s="2"/>
      <c r="M139" s="2"/>
      <c r="N139" s="2"/>
      <c r="O139" s="2"/>
      <c r="P139" s="2"/>
      <c r="Q139" s="2"/>
      <c r="R139" s="2"/>
      <c r="S139" s="2"/>
      <c r="T139" s="2"/>
      <c r="U139" s="2"/>
      <c r="V139" s="2"/>
      <c r="W139" s="2"/>
      <c r="X139" s="32"/>
      <c r="Y139" s="32"/>
    </row>
    <row r="140" spans="1:25" x14ac:dyDescent="0.25">
      <c r="A140" s="2"/>
      <c r="B140" s="9"/>
      <c r="C140" s="43" t="s">
        <v>72</v>
      </c>
      <c r="D140" s="43" t="s">
        <v>73</v>
      </c>
      <c r="E140" s="43" t="s">
        <v>62</v>
      </c>
      <c r="F140" s="43" t="s">
        <v>74</v>
      </c>
      <c r="G140" s="43" t="s">
        <v>72</v>
      </c>
      <c r="H140" s="43" t="s">
        <v>65</v>
      </c>
      <c r="I140" s="43" t="s">
        <v>75</v>
      </c>
      <c r="J140" s="43" t="s">
        <v>76</v>
      </c>
      <c r="K140" s="43" t="s">
        <v>77</v>
      </c>
      <c r="L140" s="43" t="s">
        <v>78</v>
      </c>
      <c r="M140" s="43" t="s">
        <v>66</v>
      </c>
      <c r="N140" s="380" t="s">
        <v>67</v>
      </c>
      <c r="O140" s="380"/>
      <c r="P140" s="380"/>
      <c r="Q140" s="2"/>
      <c r="R140" s="2"/>
      <c r="S140" s="2"/>
      <c r="T140" s="2"/>
      <c r="U140" s="2"/>
      <c r="V140" s="2"/>
      <c r="W140" s="2"/>
      <c r="X140" s="32"/>
      <c r="Y140" s="32"/>
    </row>
    <row r="141" spans="1:25" x14ac:dyDescent="0.25">
      <c r="A141" s="2"/>
      <c r="B141" s="9"/>
      <c r="C141" s="44" t="s">
        <v>752</v>
      </c>
      <c r="D141" s="70" t="s">
        <v>772</v>
      </c>
      <c r="E141" s="71">
        <v>1</v>
      </c>
      <c r="F141" s="71" t="s">
        <v>44</v>
      </c>
      <c r="G141" s="60">
        <f t="shared" ref="G141:G142" si="8">IF($C141="",1,VLOOKUP($C141,$C$22:$H$125,3,FALSE))</f>
        <v>0.4615072076180235</v>
      </c>
      <c r="H141" s="61" t="str">
        <f t="shared" ref="H141:H142" si="9">IF($C141="","",VLOOKUP($C141,$C$22:$H$125,6,FALSE))</f>
        <v>kg/kg</v>
      </c>
      <c r="I141" s="292">
        <f t="shared" ref="I141:I142" si="10">IF(D141="","",E141*G141*$D$5)</f>
        <v>0.4615072076180235</v>
      </c>
      <c r="J141" s="71" t="s">
        <v>44</v>
      </c>
      <c r="K141" s="62" t="s">
        <v>93</v>
      </c>
      <c r="L141" s="59" t="s">
        <v>97</v>
      </c>
      <c r="M141" s="72">
        <v>2</v>
      </c>
      <c r="N141" s="379" t="str">
        <f>"[Intermediate product] "&amp;D141</f>
        <v>[Intermediate product] rare earth chloride hexahydrate</v>
      </c>
      <c r="O141" s="379"/>
      <c r="P141" s="379"/>
      <c r="Q141" s="2"/>
      <c r="R141" s="2"/>
      <c r="S141" s="2"/>
      <c r="T141" s="2"/>
      <c r="U141" s="2"/>
      <c r="V141" s="2"/>
      <c r="W141" s="2"/>
      <c r="X141" s="32"/>
      <c r="Y141" s="32"/>
    </row>
    <row r="142" spans="1:25" x14ac:dyDescent="0.25">
      <c r="A142" s="2"/>
      <c r="B142" s="9"/>
      <c r="C142" s="65" t="s">
        <v>522</v>
      </c>
      <c r="D142" s="73" t="s">
        <v>527</v>
      </c>
      <c r="E142" s="65">
        <v>1</v>
      </c>
      <c r="F142" s="71" t="s">
        <v>44</v>
      </c>
      <c r="G142" s="60">
        <f t="shared" si="8"/>
        <v>0.78685463532861355</v>
      </c>
      <c r="H142" s="61" t="str">
        <f t="shared" si="9"/>
        <v>kg/kg</v>
      </c>
      <c r="I142" s="292">
        <f t="shared" si="10"/>
        <v>0.78685463532861355</v>
      </c>
      <c r="J142" s="65" t="s">
        <v>44</v>
      </c>
      <c r="K142" s="62" t="s">
        <v>98</v>
      </c>
      <c r="L142" s="59" t="s">
        <v>106</v>
      </c>
      <c r="M142" s="63"/>
      <c r="N142" s="379" t="s">
        <v>544</v>
      </c>
      <c r="O142" s="379"/>
      <c r="P142" s="379"/>
      <c r="Q142" s="2"/>
      <c r="R142" s="2"/>
      <c r="S142" s="2"/>
      <c r="T142" s="2"/>
      <c r="U142" s="2"/>
      <c r="V142" s="2"/>
      <c r="W142" s="2"/>
      <c r="X142" s="32"/>
      <c r="Y142" s="32"/>
    </row>
    <row r="143" spans="1:25" x14ac:dyDescent="0.25">
      <c r="A143" s="2"/>
      <c r="B143" s="9"/>
      <c r="C143" s="67" t="s">
        <v>68</v>
      </c>
      <c r="D143" s="74" t="s">
        <v>69</v>
      </c>
      <c r="E143" s="68" t="s">
        <v>80</v>
      </c>
      <c r="F143" s="51"/>
      <c r="G143" s="75"/>
      <c r="H143" s="76"/>
      <c r="I143" s="76"/>
      <c r="J143" s="51"/>
      <c r="K143" s="68"/>
      <c r="L143" s="51" t="s">
        <v>82</v>
      </c>
      <c r="M143" s="69"/>
      <c r="N143" s="378"/>
      <c r="O143" s="378"/>
      <c r="P143" s="378"/>
      <c r="Q143" s="2"/>
      <c r="R143" s="2"/>
      <c r="S143" s="2"/>
      <c r="T143" s="2"/>
      <c r="U143" s="2"/>
      <c r="V143" s="2"/>
      <c r="W143" s="2"/>
      <c r="X143" s="32"/>
      <c r="Y143" s="32"/>
    </row>
    <row r="144" spans="1:25" x14ac:dyDescent="0.25">
      <c r="A144" s="2"/>
      <c r="B144" s="9"/>
      <c r="C144" s="2"/>
      <c r="D144" s="2"/>
      <c r="E144" s="2"/>
      <c r="F144" s="2"/>
      <c r="G144" s="2"/>
      <c r="H144" s="2"/>
      <c r="I144" s="2"/>
      <c r="J144" s="2"/>
      <c r="K144" s="2"/>
      <c r="L144" s="2"/>
      <c r="M144" s="2"/>
      <c r="N144" s="2"/>
      <c r="O144" s="2"/>
      <c r="P144" s="2"/>
      <c r="Q144" s="2"/>
      <c r="R144" s="2"/>
      <c r="S144" s="2"/>
      <c r="T144" s="2"/>
      <c r="U144" s="2"/>
      <c r="V144" s="2"/>
      <c r="W144" s="2"/>
      <c r="X144" s="32"/>
      <c r="Y144" s="32"/>
    </row>
    <row r="145" spans="1:25" x14ac:dyDescent="0.25">
      <c r="A145" s="2"/>
      <c r="B145" s="9"/>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5">
      <c r="A146" s="2"/>
      <c r="B146" s="9"/>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5">
      <c r="A147" s="2"/>
      <c r="B147" s="9"/>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5">
      <c r="A148" s="2"/>
      <c r="B148" s="9"/>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5">
      <c r="A149" s="2"/>
      <c r="B149" s="9"/>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5">
      <c r="A150" s="2"/>
      <c r="B150" s="9"/>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5">
      <c r="A151" s="2"/>
      <c r="B151" s="9"/>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5">
      <c r="A152" s="2"/>
      <c r="B152" s="9"/>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5">
      <c r="A153" s="2"/>
      <c r="B153" s="9"/>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5">
      <c r="A154" s="2"/>
      <c r="B154" s="9"/>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5">
      <c r="A155" s="2"/>
      <c r="B155" s="9"/>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5">
      <c r="A156" s="2"/>
      <c r="B156" s="9"/>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5">
      <c r="A157" s="2"/>
      <c r="B157" s="9"/>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5">
      <c r="A158" s="2"/>
      <c r="B158" s="9"/>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5">
      <c r="A159" s="2"/>
      <c r="B159" s="9"/>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5">
      <c r="A160" s="2"/>
      <c r="B160" s="9"/>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5">
      <c r="A161" s="2"/>
      <c r="B161" s="9"/>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5">
      <c r="A162" s="2"/>
      <c r="B162" s="9"/>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5">
      <c r="A163" s="2"/>
      <c r="B163" s="9"/>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5">
      <c r="A164" s="2"/>
      <c r="B164" s="9"/>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5">
      <c r="A165" s="2"/>
      <c r="B165" s="9"/>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5">
      <c r="A166" s="2"/>
      <c r="B166" s="9"/>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5">
      <c r="A167" s="2"/>
      <c r="B167" s="9"/>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5">
      <c r="A168" s="2"/>
      <c r="B168" s="9"/>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5">
      <c r="A169" s="2"/>
      <c r="B169" s="9"/>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5">
      <c r="A170" s="2"/>
      <c r="B170" s="9"/>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5">
      <c r="A171" s="2"/>
      <c r="B171" s="9"/>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5">
      <c r="A172" s="2"/>
      <c r="B172" s="9"/>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5">
      <c r="A173" s="2"/>
      <c r="B173" s="9"/>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5">
      <c r="A174" s="2"/>
      <c r="B174" s="9"/>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5">
      <c r="A175" s="2"/>
      <c r="B175" s="9"/>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5">
      <c r="A176" s="2"/>
      <c r="B176" s="9"/>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5">
      <c r="A177" s="2"/>
      <c r="B177" s="9"/>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5">
      <c r="A178" s="2"/>
      <c r="B178" s="9"/>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5">
      <c r="A179" s="2"/>
      <c r="B179" s="9"/>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5">
      <c r="A180" s="2"/>
      <c r="B180" s="9"/>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5">
      <c r="A181" s="2"/>
      <c r="B181" s="9"/>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5">
      <c r="A182" s="2"/>
      <c r="B182" s="9"/>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5">
      <c r="A183" s="2"/>
      <c r="B183" s="9"/>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5">
      <c r="A184" s="2"/>
      <c r="B184" s="9"/>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5">
      <c r="A185" s="2"/>
      <c r="B185" s="9"/>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5">
      <c r="A186" s="2"/>
      <c r="B186" s="9"/>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5">
      <c r="A187" s="2"/>
      <c r="B187" s="9"/>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5">
      <c r="A188" s="2"/>
      <c r="B188" s="9"/>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5">
      <c r="A189" s="2"/>
      <c r="B189" s="9"/>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5">
      <c r="A190" s="2"/>
      <c r="B190" s="9"/>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5">
      <c r="A191" s="2"/>
      <c r="B191" s="9"/>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5">
      <c r="A192" s="2"/>
      <c r="B192" s="9"/>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5">
      <c r="A193" s="2"/>
      <c r="B193" s="9"/>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5">
      <c r="A194" s="2"/>
      <c r="B194" s="9"/>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5">
      <c r="A195" s="2"/>
      <c r="B195" s="9"/>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5">
      <c r="A196" s="2"/>
      <c r="B196" s="9"/>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5">
      <c r="A197" s="2"/>
      <c r="B197" s="9"/>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5">
      <c r="A198" s="2"/>
      <c r="B198" s="9"/>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5">
      <c r="A199" s="2"/>
      <c r="B199" s="77" t="s">
        <v>85</v>
      </c>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5">
      <c r="A200" s="9"/>
      <c r="B200" s="9"/>
      <c r="C200" s="9" t="s">
        <v>86</v>
      </c>
      <c r="D200" s="9" t="s">
        <v>87</v>
      </c>
      <c r="E200" s="9" t="s">
        <v>88</v>
      </c>
      <c r="F200" s="9"/>
      <c r="G200" s="9"/>
      <c r="H200" s="9" t="s">
        <v>78</v>
      </c>
      <c r="I200" s="9"/>
      <c r="J200" s="9" t="s">
        <v>77</v>
      </c>
      <c r="K200" s="9"/>
      <c r="L200" s="9"/>
      <c r="M200" s="9"/>
      <c r="N200" s="9"/>
      <c r="O200" s="9"/>
      <c r="P200" s="9"/>
      <c r="Q200" s="9"/>
      <c r="R200" s="9"/>
      <c r="S200" s="9"/>
      <c r="T200" s="9"/>
      <c r="U200" s="9"/>
      <c r="V200" s="9"/>
      <c r="W200" s="9"/>
      <c r="X200" s="9"/>
      <c r="Y200" s="9"/>
    </row>
    <row r="201" spans="1:25" x14ac:dyDescent="0.25">
      <c r="A201" s="2"/>
      <c r="B201" s="9"/>
      <c r="C201" s="78" t="s">
        <v>82</v>
      </c>
      <c r="D201" s="78" t="s">
        <v>82</v>
      </c>
      <c r="E201" s="78" t="s">
        <v>82</v>
      </c>
      <c r="F201" s="2"/>
      <c r="G201" s="2"/>
      <c r="H201" s="78" t="s">
        <v>82</v>
      </c>
      <c r="I201" s="2"/>
      <c r="J201" s="2"/>
      <c r="K201" s="2"/>
      <c r="L201" s="2"/>
      <c r="M201" s="2"/>
      <c r="N201" s="2"/>
      <c r="O201" s="2"/>
      <c r="P201" s="2"/>
      <c r="Q201" s="2"/>
      <c r="R201" s="2"/>
      <c r="S201" s="2"/>
      <c r="T201" s="2"/>
      <c r="U201" s="2"/>
      <c r="V201" s="2"/>
      <c r="W201" s="2"/>
      <c r="X201" s="2"/>
      <c r="Y201" s="2"/>
    </row>
    <row r="202" spans="1:25" x14ac:dyDescent="0.25">
      <c r="A202" s="2"/>
      <c r="B202" s="9"/>
      <c r="C202" s="18" t="s">
        <v>89</v>
      </c>
      <c r="D202" s="2" t="s">
        <v>90</v>
      </c>
      <c r="E202" s="2" t="s">
        <v>91</v>
      </c>
      <c r="F202" s="2"/>
      <c r="G202" s="2"/>
      <c r="H202" s="2" t="s">
        <v>92</v>
      </c>
      <c r="I202" s="2"/>
      <c r="J202" s="2" t="s">
        <v>93</v>
      </c>
      <c r="K202" s="2"/>
      <c r="L202" s="2"/>
      <c r="M202" s="2"/>
      <c r="N202" s="2"/>
      <c r="O202" s="2"/>
      <c r="P202" s="2"/>
      <c r="Q202" s="2"/>
      <c r="R202" s="2"/>
      <c r="S202" s="2"/>
      <c r="T202" s="2"/>
      <c r="U202" s="2"/>
      <c r="V202" s="2"/>
      <c r="W202" s="2"/>
      <c r="X202" s="2"/>
      <c r="Y202" s="2"/>
    </row>
    <row r="203" spans="1:25" x14ac:dyDescent="0.25">
      <c r="A203" s="2"/>
      <c r="B203" s="9"/>
      <c r="C203" s="2" t="s">
        <v>94</v>
      </c>
      <c r="D203" s="2" t="s">
        <v>95</v>
      </c>
      <c r="E203" s="2" t="s">
        <v>96</v>
      </c>
      <c r="F203" s="2"/>
      <c r="G203" s="2"/>
      <c r="H203" s="2" t="s">
        <v>97</v>
      </c>
      <c r="I203" s="2"/>
      <c r="J203" s="2" t="s">
        <v>98</v>
      </c>
      <c r="K203" s="2"/>
      <c r="L203" s="2"/>
      <c r="M203" s="2"/>
      <c r="N203" s="2"/>
      <c r="O203" s="2"/>
      <c r="P203" s="2"/>
      <c r="Q203" s="2"/>
      <c r="R203" s="2"/>
      <c r="S203" s="2"/>
      <c r="T203" s="2"/>
      <c r="U203" s="2"/>
      <c r="V203" s="2"/>
      <c r="W203" s="2"/>
      <c r="X203" s="2"/>
      <c r="Y203" s="2"/>
    </row>
    <row r="204" spans="1:25" x14ac:dyDescent="0.25">
      <c r="A204" s="2"/>
      <c r="B204" s="9"/>
      <c r="C204" s="2" t="s">
        <v>99</v>
      </c>
      <c r="D204" s="2" t="s">
        <v>100</v>
      </c>
      <c r="E204" s="2" t="s">
        <v>101</v>
      </c>
      <c r="F204" s="2"/>
      <c r="G204" s="2"/>
      <c r="H204" s="2" t="s">
        <v>102</v>
      </c>
      <c r="I204" s="2"/>
      <c r="J204" s="2"/>
      <c r="K204" s="2"/>
      <c r="L204" s="2"/>
      <c r="M204" s="2"/>
      <c r="N204" s="2"/>
      <c r="O204" s="2"/>
      <c r="P204" s="2"/>
      <c r="Q204" s="2"/>
      <c r="R204" s="2"/>
      <c r="S204" s="2"/>
      <c r="T204" s="2"/>
      <c r="U204" s="2"/>
      <c r="V204" s="2"/>
      <c r="W204" s="2"/>
      <c r="X204" s="2"/>
      <c r="Y204" s="2"/>
    </row>
    <row r="205" spans="1:25" x14ac:dyDescent="0.25">
      <c r="A205" s="2"/>
      <c r="B205" s="9"/>
      <c r="C205" s="2" t="s">
        <v>103</v>
      </c>
      <c r="D205" s="2" t="s">
        <v>104</v>
      </c>
      <c r="E205" s="2" t="s">
        <v>105</v>
      </c>
      <c r="F205" s="2"/>
      <c r="G205" s="2"/>
      <c r="H205" s="2" t="s">
        <v>106</v>
      </c>
      <c r="I205" s="2"/>
      <c r="J205" s="2"/>
      <c r="K205" s="2"/>
      <c r="L205" s="2"/>
      <c r="M205" s="2"/>
      <c r="N205" s="2"/>
      <c r="O205" s="2"/>
      <c r="P205" s="2"/>
      <c r="Q205" s="2"/>
      <c r="R205" s="2"/>
      <c r="S205" s="2"/>
      <c r="T205" s="2"/>
      <c r="U205" s="2"/>
      <c r="V205" s="2"/>
      <c r="W205" s="2"/>
      <c r="X205" s="2"/>
      <c r="Y205" s="2"/>
    </row>
    <row r="206" spans="1:25" x14ac:dyDescent="0.25">
      <c r="A206" s="2"/>
      <c r="B206" s="9"/>
      <c r="C206" s="2" t="s">
        <v>107</v>
      </c>
      <c r="D206" s="2"/>
      <c r="E206" s="2" t="s">
        <v>108</v>
      </c>
      <c r="F206" s="2"/>
      <c r="G206" s="2"/>
      <c r="H206" s="2" t="s">
        <v>108</v>
      </c>
      <c r="I206" s="2"/>
      <c r="J206" s="2"/>
      <c r="K206" s="2"/>
      <c r="L206" s="2"/>
      <c r="M206" s="2"/>
      <c r="N206" s="2"/>
      <c r="O206" s="2"/>
      <c r="P206" s="2"/>
      <c r="Q206" s="2"/>
      <c r="R206" s="2"/>
      <c r="S206" s="2"/>
      <c r="T206" s="2"/>
      <c r="U206" s="2"/>
      <c r="V206" s="2"/>
      <c r="W206" s="2"/>
      <c r="X206" s="2"/>
      <c r="Y206" s="2"/>
    </row>
    <row r="207" spans="1:25" x14ac:dyDescent="0.25">
      <c r="A207" s="2"/>
      <c r="B207" s="9"/>
      <c r="C207" s="2" t="s">
        <v>109</v>
      </c>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5">
      <c r="A208" s="2"/>
      <c r="B208" s="9"/>
      <c r="C208" s="2" t="s">
        <v>110</v>
      </c>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5">
      <c r="A209" s="2"/>
      <c r="B209" s="9"/>
      <c r="C209" s="2" t="s">
        <v>111</v>
      </c>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5">
      <c r="A210" s="2"/>
      <c r="B210" s="9"/>
      <c r="C210" s="18" t="s">
        <v>112</v>
      </c>
      <c r="D210" s="2"/>
      <c r="E210" s="2"/>
      <c r="F210" s="2"/>
      <c r="G210" s="2"/>
      <c r="H210" s="2"/>
      <c r="I210" s="2"/>
      <c r="J210" s="2"/>
      <c r="K210" s="2"/>
      <c r="L210" s="2"/>
      <c r="M210" s="2"/>
      <c r="N210" s="2"/>
      <c r="O210" s="2"/>
      <c r="P210" s="2"/>
      <c r="Q210" s="2"/>
      <c r="R210" s="2"/>
      <c r="S210" s="2"/>
      <c r="T210" s="2"/>
      <c r="U210" s="2"/>
      <c r="V210" s="2"/>
      <c r="W210" s="2"/>
      <c r="X210" s="2"/>
      <c r="Y210" s="2"/>
    </row>
  </sheetData>
  <sheetProtection formatCells="0" formatRows="0" insertRows="0" insertHyperlinks="0" deleteRows="0" selectLockedCells="1"/>
  <mergeCells count="142">
    <mergeCell ref="N135:P135"/>
    <mergeCell ref="J83:P83"/>
    <mergeCell ref="J84:P84"/>
    <mergeCell ref="N140:P140"/>
    <mergeCell ref="N130:P130"/>
    <mergeCell ref="N131:P131"/>
    <mergeCell ref="N134:P134"/>
    <mergeCell ref="N136:P136"/>
    <mergeCell ref="B138:P138"/>
    <mergeCell ref="B127:P127"/>
    <mergeCell ref="J116:P116"/>
    <mergeCell ref="J115:P115"/>
    <mergeCell ref="J102:P102"/>
    <mergeCell ref="J103:P103"/>
    <mergeCell ref="J104:P104"/>
    <mergeCell ref="J105:P105"/>
    <mergeCell ref="J101:P101"/>
    <mergeCell ref="J122:P122"/>
    <mergeCell ref="J123:P123"/>
    <mergeCell ref="J90:P90"/>
    <mergeCell ref="J91:P91"/>
    <mergeCell ref="J92:P92"/>
    <mergeCell ref="J121:P121"/>
    <mergeCell ref="J108:P108"/>
    <mergeCell ref="N133:P133"/>
    <mergeCell ref="J82:P82"/>
    <mergeCell ref="J60:P60"/>
    <mergeCell ref="J61:P61"/>
    <mergeCell ref="J62:P62"/>
    <mergeCell ref="J63:P63"/>
    <mergeCell ref="J58:P58"/>
    <mergeCell ref="J109:P109"/>
    <mergeCell ref="J78:P78"/>
    <mergeCell ref="J79:P79"/>
    <mergeCell ref="J80:P80"/>
    <mergeCell ref="J81:P81"/>
    <mergeCell ref="J94:P94"/>
    <mergeCell ref="J112:P112"/>
    <mergeCell ref="J68:P68"/>
    <mergeCell ref="J69:P69"/>
    <mergeCell ref="J107:P107"/>
    <mergeCell ref="J64:P64"/>
    <mergeCell ref="J65:P65"/>
    <mergeCell ref="J110:P110"/>
    <mergeCell ref="J93:P93"/>
    <mergeCell ref="J106:P106"/>
    <mergeCell ref="J29:P29"/>
    <mergeCell ref="J30:P30"/>
    <mergeCell ref="J67:P67"/>
    <mergeCell ref="N132:P132"/>
    <mergeCell ref="J38:P38"/>
    <mergeCell ref="J40:P40"/>
    <mergeCell ref="J42:P42"/>
    <mergeCell ref="J55:P55"/>
    <mergeCell ref="J56:P56"/>
    <mergeCell ref="J57:P57"/>
    <mergeCell ref="J59:P59"/>
    <mergeCell ref="J66:P66"/>
    <mergeCell ref="N143:P143"/>
    <mergeCell ref="J27:P27"/>
    <mergeCell ref="J28:P28"/>
    <mergeCell ref="J96:P96"/>
    <mergeCell ref="J97:P97"/>
    <mergeCell ref="J113:P113"/>
    <mergeCell ref="J118:P118"/>
    <mergeCell ref="J124:P124"/>
    <mergeCell ref="J117:P117"/>
    <mergeCell ref="J114:P114"/>
    <mergeCell ref="J98:P98"/>
    <mergeCell ref="J99:P99"/>
    <mergeCell ref="J100:P100"/>
    <mergeCell ref="N141:P141"/>
    <mergeCell ref="N142:P142"/>
    <mergeCell ref="N129:P129"/>
    <mergeCell ref="J120:P120"/>
    <mergeCell ref="J119:P119"/>
    <mergeCell ref="J89:P89"/>
    <mergeCell ref="J95:P95"/>
    <mergeCell ref="J77:P77"/>
    <mergeCell ref="J70:P70"/>
    <mergeCell ref="J71:P71"/>
    <mergeCell ref="J72:P72"/>
    <mergeCell ref="J73:P73"/>
    <mergeCell ref="J74:P74"/>
    <mergeCell ref="D16:E16"/>
    <mergeCell ref="J46:P46"/>
    <mergeCell ref="J45:P45"/>
    <mergeCell ref="J47:P47"/>
    <mergeCell ref="J48:P48"/>
    <mergeCell ref="J75:P75"/>
    <mergeCell ref="J76:P76"/>
    <mergeCell ref="J49:P49"/>
    <mergeCell ref="J50:P50"/>
    <mergeCell ref="J51:P51"/>
    <mergeCell ref="J52:P52"/>
    <mergeCell ref="J53:P53"/>
    <mergeCell ref="J85:P85"/>
    <mergeCell ref="J86:P86"/>
    <mergeCell ref="J87:P87"/>
    <mergeCell ref="J88:P88"/>
    <mergeCell ref="J54:P54"/>
    <mergeCell ref="J26:P26"/>
    <mergeCell ref="J44:P44"/>
    <mergeCell ref="J33:P33"/>
    <mergeCell ref="J31:P31"/>
    <mergeCell ref="J32:P32"/>
    <mergeCell ref="J34:P34"/>
    <mergeCell ref="J35:P35"/>
    <mergeCell ref="J36:P36"/>
    <mergeCell ref="J37:P37"/>
    <mergeCell ref="J39:P39"/>
    <mergeCell ref="J41:P41"/>
    <mergeCell ref="J43:P43"/>
    <mergeCell ref="B11:C11"/>
    <mergeCell ref="D11:E11"/>
    <mergeCell ref="B17:C17"/>
    <mergeCell ref="D17:E17"/>
    <mergeCell ref="B20:P20"/>
    <mergeCell ref="J22:P22"/>
    <mergeCell ref="J23:P23"/>
    <mergeCell ref="J24:P24"/>
    <mergeCell ref="J25:P25"/>
    <mergeCell ref="B1:Q1"/>
    <mergeCell ref="B2:Q2"/>
    <mergeCell ref="B4:C4"/>
    <mergeCell ref="B5:C5"/>
    <mergeCell ref="G5:J5"/>
    <mergeCell ref="B6:C6"/>
    <mergeCell ref="D6:O6"/>
    <mergeCell ref="B8:P8"/>
    <mergeCell ref="B10:C10"/>
    <mergeCell ref="D10:E10"/>
    <mergeCell ref="B13:C13"/>
    <mergeCell ref="D13:E13"/>
    <mergeCell ref="G13:O16"/>
    <mergeCell ref="B14:C14"/>
    <mergeCell ref="D14:E14"/>
    <mergeCell ref="B15:C15"/>
    <mergeCell ref="D15:E15"/>
    <mergeCell ref="B16:C16"/>
    <mergeCell ref="B12:C12"/>
    <mergeCell ref="D12:E12"/>
  </mergeCells>
  <conditionalFormatting sqref="H130:H135 H141:H143">
    <cfRule type="cellIs" dxfId="7" priority="2" stopIfTrue="1" operator="equal">
      <formula>0</formula>
    </cfRule>
  </conditionalFormatting>
  <conditionalFormatting sqref="G130:G135 G141:G143">
    <cfRule type="cellIs" dxfId="6" priority="1" stopIfTrue="1" operator="equal">
      <formula>1</formula>
    </cfRule>
  </conditionalFormatting>
  <dataValidations count="7">
    <dataValidation type="list" allowBlank="1" showInputMessage="1" showErrorMessage="1" sqref="L130:L135 L141:L142">
      <formula1>$H$201:$H$206</formula1>
    </dataValidation>
    <dataValidation type="list" allowBlank="1" showInputMessage="1" showErrorMessage="1" sqref="K130:K135 K141:K142">
      <formula1>$J$201:$J$203</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$C$201:$C$210</formula1>
    </dataValidation>
    <dataValidation type="list" allowBlank="1" showInputMessage="1" showErrorMessage="1" sqref="D14:E14">
      <formula1>$D$201:$D$205</formula1>
    </dataValidation>
    <dataValidation type="list" allowBlank="1" showInputMessage="1" showErrorMessage="1" sqref="D16:E16">
      <formula1>$E$201:$E$206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86" t="s">
        <v>13</v>
      </c>
      <c r="B1" s="386"/>
      <c r="C1" s="386"/>
      <c r="D1" s="386"/>
      <c r="E1" s="386"/>
      <c r="F1" s="386"/>
      <c r="G1" s="386"/>
      <c r="H1" s="386"/>
      <c r="I1" s="386"/>
      <c r="J1" s="386"/>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9"/>
      <c r="B2" s="79"/>
      <c r="C2" s="79"/>
      <c r="D2" s="79"/>
      <c r="E2" s="79"/>
      <c r="F2" s="79"/>
      <c r="G2" s="79"/>
      <c r="H2" s="79"/>
      <c r="I2" s="79"/>
      <c r="J2" s="7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9"/>
      <c r="B3" s="387" t="s">
        <v>60</v>
      </c>
      <c r="C3" s="80" t="s">
        <v>113</v>
      </c>
      <c r="D3" s="389" t="s">
        <v>114</v>
      </c>
      <c r="E3" s="390"/>
      <c r="F3" s="391"/>
      <c r="G3" s="392" t="s">
        <v>115</v>
      </c>
      <c r="H3" s="79"/>
      <c r="I3" s="79"/>
      <c r="J3" s="7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88"/>
      <c r="C4" s="81">
        <v>3</v>
      </c>
      <c r="D4" s="82">
        <v>1</v>
      </c>
      <c r="E4" s="83">
        <v>2</v>
      </c>
      <c r="F4" s="84">
        <v>3</v>
      </c>
      <c r="G4" s="393"/>
    </row>
    <row r="5" spans="1:38" ht="15" customHeight="1" x14ac:dyDescent="0.25">
      <c r="B5" s="388"/>
      <c r="C5" s="85" t="str">
        <f>D5</f>
        <v>Rare earths solvent extraction</v>
      </c>
      <c r="D5" s="394" t="str">
        <f>'Data Summary'!D4</f>
        <v>Rare earths solvent extraction</v>
      </c>
      <c r="E5" s="395"/>
      <c r="F5" s="396"/>
      <c r="G5" s="393"/>
    </row>
    <row r="6" spans="1:38" x14ac:dyDescent="0.25">
      <c r="B6" s="388"/>
      <c r="C6" s="86" t="str">
        <f>HLOOKUP($C$4,$D$4:$F$13,3,FALSE)</f>
        <v>Scenario 3 Name</v>
      </c>
      <c r="D6" s="87" t="s">
        <v>116</v>
      </c>
      <c r="E6" s="88" t="s">
        <v>117</v>
      </c>
      <c r="F6" s="89" t="s">
        <v>118</v>
      </c>
      <c r="G6" s="393"/>
    </row>
    <row r="7" spans="1:38" ht="15" customHeight="1" x14ac:dyDescent="0.25">
      <c r="B7" s="90" t="s">
        <v>119</v>
      </c>
      <c r="C7" s="91">
        <f>HLOOKUP($C$4,$D$4:$F$13,4,FALSE)</f>
        <v>0</v>
      </c>
      <c r="D7" s="92"/>
      <c r="E7" s="93"/>
      <c r="F7" s="94"/>
      <c r="G7" s="95" t="s">
        <v>120</v>
      </c>
    </row>
    <row r="8" spans="1:38" ht="15" customHeight="1" x14ac:dyDescent="0.25">
      <c r="B8" s="96" t="s">
        <v>121</v>
      </c>
      <c r="C8" s="97">
        <f>HLOOKUP($C$4,$D$4:$F$13,5,FALSE)</f>
        <v>0</v>
      </c>
      <c r="D8" s="98"/>
      <c r="E8" s="99"/>
      <c r="F8" s="100"/>
      <c r="G8" s="101"/>
    </row>
    <row r="9" spans="1:38" ht="15" customHeight="1" x14ac:dyDescent="0.25">
      <c r="B9" s="102"/>
      <c r="C9" s="103">
        <f>HLOOKUP($C$4,$D$4:$F$13,6,FALSE)</f>
        <v>0</v>
      </c>
      <c r="D9" s="104"/>
      <c r="E9" s="105"/>
      <c r="F9" s="106"/>
      <c r="G9" s="101"/>
    </row>
    <row r="10" spans="1:38" ht="15" customHeight="1" x14ac:dyDescent="0.25">
      <c r="B10" s="102"/>
      <c r="C10" s="103">
        <f>HLOOKUP($C$4,$D$4:$F$13,7,FALSE)</f>
        <v>0</v>
      </c>
      <c r="D10" s="104"/>
      <c r="E10" s="105"/>
      <c r="F10" s="106"/>
      <c r="G10" s="101"/>
    </row>
    <row r="11" spans="1:38" ht="15" customHeight="1" x14ac:dyDescent="0.25">
      <c r="B11" s="102"/>
      <c r="C11" s="107">
        <f>HLOOKUP($C$4,$D$4:$F$13,8,FALSE)</f>
        <v>0</v>
      </c>
      <c r="D11" s="108"/>
      <c r="E11" s="109"/>
      <c r="F11" s="110"/>
      <c r="G11" s="101"/>
    </row>
    <row r="12" spans="1:38" ht="15" customHeight="1" x14ac:dyDescent="0.25">
      <c r="B12" s="102"/>
      <c r="C12" s="107">
        <f>HLOOKUP($C$4,$D$4:$F$13,9,FALSE)</f>
        <v>0</v>
      </c>
      <c r="D12" s="108"/>
      <c r="E12" s="109"/>
      <c r="F12" s="110"/>
      <c r="G12" s="101"/>
    </row>
    <row r="13" spans="1:38" ht="15" customHeight="1" thickBot="1" x14ac:dyDescent="0.3">
      <c r="B13" s="111"/>
      <c r="C13" s="112">
        <f>HLOOKUP($C$4,$D$4:$F$13,10,FALSE)</f>
        <v>0</v>
      </c>
      <c r="D13" s="113"/>
      <c r="E13" s="114"/>
      <c r="F13" s="115"/>
      <c r="G13" s="11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7" t="s">
        <v>122</v>
      </c>
    </row>
    <row r="20" spans="2:7" x14ac:dyDescent="0.25">
      <c r="B20" s="118" t="s">
        <v>114</v>
      </c>
      <c r="C20" s="397" t="s">
        <v>9</v>
      </c>
      <c r="D20" s="397"/>
      <c r="E20" s="397"/>
      <c r="F20" s="397"/>
      <c r="G20" s="397"/>
    </row>
    <row r="21" spans="2:7" ht="30" customHeight="1" x14ac:dyDescent="0.25">
      <c r="B21" s="119">
        <v>1</v>
      </c>
      <c r="C21" s="383" t="s">
        <v>123</v>
      </c>
      <c r="D21" s="383"/>
      <c r="E21" s="383"/>
      <c r="F21" s="383"/>
      <c r="G21" s="383"/>
    </row>
    <row r="22" spans="2:7" ht="30" customHeight="1" x14ac:dyDescent="0.25">
      <c r="B22" s="119">
        <v>2</v>
      </c>
      <c r="C22" s="384"/>
      <c r="D22" s="384"/>
      <c r="E22" s="384"/>
      <c r="F22" s="384"/>
      <c r="G22" s="384"/>
    </row>
    <row r="23" spans="2:7" ht="30" customHeight="1" x14ac:dyDescent="0.25">
      <c r="B23" s="120">
        <v>3</v>
      </c>
      <c r="C23" s="385"/>
      <c r="D23" s="385"/>
      <c r="E23" s="385"/>
      <c r="F23" s="385"/>
      <c r="G23" s="38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E26" sqref="E26"/>
    </sheetView>
  </sheetViews>
  <sheetFormatPr defaultColWidth="36.85546875" defaultRowHeight="12.75" customHeight="1" x14ac:dyDescent="0.25"/>
  <cols>
    <col min="1" max="1" width="18.5703125" style="180" customWidth="1"/>
    <col min="2" max="10" width="31.42578125" style="179" customWidth="1"/>
    <col min="11" max="27" width="36.85546875" style="179" customWidth="1"/>
    <col min="28" max="28" width="37" style="179" customWidth="1"/>
    <col min="29" max="35" width="36.85546875" style="179" customWidth="1"/>
    <col min="36" max="44" width="36.85546875" style="180" customWidth="1"/>
    <col min="45" max="45" width="37.140625" style="180" customWidth="1"/>
    <col min="46" max="47" width="36.85546875" style="180" customWidth="1"/>
    <col min="48" max="48" width="36.5703125" style="180" customWidth="1"/>
    <col min="49" max="50" width="36.85546875" style="180" customWidth="1"/>
    <col min="51" max="51" width="36.5703125" style="180" customWidth="1"/>
    <col min="52" max="52" width="37" style="180" customWidth="1"/>
    <col min="53" max="71" width="36.85546875" style="180" customWidth="1"/>
    <col min="72" max="72" width="37" style="180" customWidth="1"/>
    <col min="73" max="90" width="36.85546875" style="180" customWidth="1"/>
    <col min="91" max="91" width="36.5703125" style="180" customWidth="1"/>
    <col min="92" max="104" width="36.85546875" style="180" customWidth="1"/>
    <col min="105" max="105" width="36.5703125" style="180" customWidth="1"/>
    <col min="106" max="108" width="36.85546875" style="180" customWidth="1"/>
    <col min="109" max="109" width="36.5703125" style="180" customWidth="1"/>
    <col min="110" max="117" width="36.85546875" style="180" customWidth="1"/>
    <col min="118" max="118" width="36.5703125" style="180" customWidth="1"/>
    <col min="119" max="256" width="36.85546875" style="180"/>
    <col min="257" max="257" width="18.5703125" style="180" customWidth="1"/>
    <col min="258" max="266" width="31.42578125" style="180" customWidth="1"/>
    <col min="267" max="283" width="36.85546875" style="180" customWidth="1"/>
    <col min="284" max="284" width="37" style="180" customWidth="1"/>
    <col min="285" max="300" width="36.85546875" style="180" customWidth="1"/>
    <col min="301" max="301" width="37.140625" style="180" customWidth="1"/>
    <col min="302" max="303" width="36.85546875" style="180" customWidth="1"/>
    <col min="304" max="304" width="36.5703125" style="180" customWidth="1"/>
    <col min="305" max="306" width="36.85546875" style="180" customWidth="1"/>
    <col min="307" max="307" width="36.5703125" style="180" customWidth="1"/>
    <col min="308" max="308" width="37" style="180" customWidth="1"/>
    <col min="309" max="327" width="36.85546875" style="180" customWidth="1"/>
    <col min="328" max="328" width="37" style="180" customWidth="1"/>
    <col min="329" max="346" width="36.85546875" style="180" customWidth="1"/>
    <col min="347" max="347" width="36.5703125" style="180" customWidth="1"/>
    <col min="348" max="360" width="36.85546875" style="180" customWidth="1"/>
    <col min="361" max="361" width="36.5703125" style="180" customWidth="1"/>
    <col min="362" max="364" width="36.85546875" style="180" customWidth="1"/>
    <col min="365" max="365" width="36.5703125" style="180" customWidth="1"/>
    <col min="366" max="373" width="36.85546875" style="180" customWidth="1"/>
    <col min="374" max="374" width="36.5703125" style="180" customWidth="1"/>
    <col min="375" max="512" width="36.85546875" style="180"/>
    <col min="513" max="513" width="18.5703125" style="180" customWidth="1"/>
    <col min="514" max="522" width="31.42578125" style="180" customWidth="1"/>
    <col min="523" max="539" width="36.85546875" style="180" customWidth="1"/>
    <col min="540" max="540" width="37" style="180" customWidth="1"/>
    <col min="541" max="556" width="36.85546875" style="180" customWidth="1"/>
    <col min="557" max="557" width="37.140625" style="180" customWidth="1"/>
    <col min="558" max="559" width="36.85546875" style="180" customWidth="1"/>
    <col min="560" max="560" width="36.5703125" style="180" customWidth="1"/>
    <col min="561" max="562" width="36.85546875" style="180" customWidth="1"/>
    <col min="563" max="563" width="36.5703125" style="180" customWidth="1"/>
    <col min="564" max="564" width="37" style="180" customWidth="1"/>
    <col min="565" max="583" width="36.85546875" style="180" customWidth="1"/>
    <col min="584" max="584" width="37" style="180" customWidth="1"/>
    <col min="585" max="602" width="36.85546875" style="180" customWidth="1"/>
    <col min="603" max="603" width="36.5703125" style="180" customWidth="1"/>
    <col min="604" max="616" width="36.85546875" style="180" customWidth="1"/>
    <col min="617" max="617" width="36.5703125" style="180" customWidth="1"/>
    <col min="618" max="620" width="36.85546875" style="180" customWidth="1"/>
    <col min="621" max="621" width="36.5703125" style="180" customWidth="1"/>
    <col min="622" max="629" width="36.85546875" style="180" customWidth="1"/>
    <col min="630" max="630" width="36.5703125" style="180" customWidth="1"/>
    <col min="631" max="768" width="36.85546875" style="180"/>
    <col min="769" max="769" width="18.5703125" style="180" customWidth="1"/>
    <col min="770" max="778" width="31.42578125" style="180" customWidth="1"/>
    <col min="779" max="795" width="36.85546875" style="180" customWidth="1"/>
    <col min="796" max="796" width="37" style="180" customWidth="1"/>
    <col min="797" max="812" width="36.85546875" style="180" customWidth="1"/>
    <col min="813" max="813" width="37.140625" style="180" customWidth="1"/>
    <col min="814" max="815" width="36.85546875" style="180" customWidth="1"/>
    <col min="816" max="816" width="36.5703125" style="180" customWidth="1"/>
    <col min="817" max="818" width="36.85546875" style="180" customWidth="1"/>
    <col min="819" max="819" width="36.5703125" style="180" customWidth="1"/>
    <col min="820" max="820" width="37" style="180" customWidth="1"/>
    <col min="821" max="839" width="36.85546875" style="180" customWidth="1"/>
    <col min="840" max="840" width="37" style="180" customWidth="1"/>
    <col min="841" max="858" width="36.85546875" style="180" customWidth="1"/>
    <col min="859" max="859" width="36.5703125" style="180" customWidth="1"/>
    <col min="860" max="872" width="36.85546875" style="180" customWidth="1"/>
    <col min="873" max="873" width="36.5703125" style="180" customWidth="1"/>
    <col min="874" max="876" width="36.85546875" style="180" customWidth="1"/>
    <col min="877" max="877" width="36.5703125" style="180" customWidth="1"/>
    <col min="878" max="885" width="36.85546875" style="180" customWidth="1"/>
    <col min="886" max="886" width="36.5703125" style="180" customWidth="1"/>
    <col min="887" max="1024" width="36.85546875" style="180"/>
    <col min="1025" max="1025" width="18.5703125" style="180" customWidth="1"/>
    <col min="1026" max="1034" width="31.42578125" style="180" customWidth="1"/>
    <col min="1035" max="1051" width="36.85546875" style="180" customWidth="1"/>
    <col min="1052" max="1052" width="37" style="180" customWidth="1"/>
    <col min="1053" max="1068" width="36.85546875" style="180" customWidth="1"/>
    <col min="1069" max="1069" width="37.140625" style="180" customWidth="1"/>
    <col min="1070" max="1071" width="36.85546875" style="180" customWidth="1"/>
    <col min="1072" max="1072" width="36.5703125" style="180" customWidth="1"/>
    <col min="1073" max="1074" width="36.85546875" style="180" customWidth="1"/>
    <col min="1075" max="1075" width="36.5703125" style="180" customWidth="1"/>
    <col min="1076" max="1076" width="37" style="180" customWidth="1"/>
    <col min="1077" max="1095" width="36.85546875" style="180" customWidth="1"/>
    <col min="1096" max="1096" width="37" style="180" customWidth="1"/>
    <col min="1097" max="1114" width="36.85546875" style="180" customWidth="1"/>
    <col min="1115" max="1115" width="36.5703125" style="180" customWidth="1"/>
    <col min="1116" max="1128" width="36.85546875" style="180" customWidth="1"/>
    <col min="1129" max="1129" width="36.5703125" style="180" customWidth="1"/>
    <col min="1130" max="1132" width="36.85546875" style="180" customWidth="1"/>
    <col min="1133" max="1133" width="36.5703125" style="180" customWidth="1"/>
    <col min="1134" max="1141" width="36.85546875" style="180" customWidth="1"/>
    <col min="1142" max="1142" width="36.5703125" style="180" customWidth="1"/>
    <col min="1143" max="1280" width="36.85546875" style="180"/>
    <col min="1281" max="1281" width="18.5703125" style="180" customWidth="1"/>
    <col min="1282" max="1290" width="31.42578125" style="180" customWidth="1"/>
    <col min="1291" max="1307" width="36.85546875" style="180" customWidth="1"/>
    <col min="1308" max="1308" width="37" style="180" customWidth="1"/>
    <col min="1309" max="1324" width="36.85546875" style="180" customWidth="1"/>
    <col min="1325" max="1325" width="37.140625" style="180" customWidth="1"/>
    <col min="1326" max="1327" width="36.85546875" style="180" customWidth="1"/>
    <col min="1328" max="1328" width="36.5703125" style="180" customWidth="1"/>
    <col min="1329" max="1330" width="36.85546875" style="180" customWidth="1"/>
    <col min="1331" max="1331" width="36.5703125" style="180" customWidth="1"/>
    <col min="1332" max="1332" width="37" style="180" customWidth="1"/>
    <col min="1333" max="1351" width="36.85546875" style="180" customWidth="1"/>
    <col min="1352" max="1352" width="37" style="180" customWidth="1"/>
    <col min="1353" max="1370" width="36.85546875" style="180" customWidth="1"/>
    <col min="1371" max="1371" width="36.5703125" style="180" customWidth="1"/>
    <col min="1372" max="1384" width="36.85546875" style="180" customWidth="1"/>
    <col min="1385" max="1385" width="36.5703125" style="180" customWidth="1"/>
    <col min="1386" max="1388" width="36.85546875" style="180" customWidth="1"/>
    <col min="1389" max="1389" width="36.5703125" style="180" customWidth="1"/>
    <col min="1390" max="1397" width="36.85546875" style="180" customWidth="1"/>
    <col min="1398" max="1398" width="36.5703125" style="180" customWidth="1"/>
    <col min="1399" max="1536" width="36.85546875" style="180"/>
    <col min="1537" max="1537" width="18.5703125" style="180" customWidth="1"/>
    <col min="1538" max="1546" width="31.42578125" style="180" customWidth="1"/>
    <col min="1547" max="1563" width="36.85546875" style="180" customWidth="1"/>
    <col min="1564" max="1564" width="37" style="180" customWidth="1"/>
    <col min="1565" max="1580" width="36.85546875" style="180" customWidth="1"/>
    <col min="1581" max="1581" width="37.140625" style="180" customWidth="1"/>
    <col min="1582" max="1583" width="36.85546875" style="180" customWidth="1"/>
    <col min="1584" max="1584" width="36.5703125" style="180" customWidth="1"/>
    <col min="1585" max="1586" width="36.85546875" style="180" customWidth="1"/>
    <col min="1587" max="1587" width="36.5703125" style="180" customWidth="1"/>
    <col min="1588" max="1588" width="37" style="180" customWidth="1"/>
    <col min="1589" max="1607" width="36.85546875" style="180" customWidth="1"/>
    <col min="1608" max="1608" width="37" style="180" customWidth="1"/>
    <col min="1609" max="1626" width="36.85546875" style="180" customWidth="1"/>
    <col min="1627" max="1627" width="36.5703125" style="180" customWidth="1"/>
    <col min="1628" max="1640" width="36.85546875" style="180" customWidth="1"/>
    <col min="1641" max="1641" width="36.5703125" style="180" customWidth="1"/>
    <col min="1642" max="1644" width="36.85546875" style="180" customWidth="1"/>
    <col min="1645" max="1645" width="36.5703125" style="180" customWidth="1"/>
    <col min="1646" max="1653" width="36.85546875" style="180" customWidth="1"/>
    <col min="1654" max="1654" width="36.5703125" style="180" customWidth="1"/>
    <col min="1655" max="1792" width="36.85546875" style="180"/>
    <col min="1793" max="1793" width="18.5703125" style="180" customWidth="1"/>
    <col min="1794" max="1802" width="31.42578125" style="180" customWidth="1"/>
    <col min="1803" max="1819" width="36.85546875" style="180" customWidth="1"/>
    <col min="1820" max="1820" width="37" style="180" customWidth="1"/>
    <col min="1821" max="1836" width="36.85546875" style="180" customWidth="1"/>
    <col min="1837" max="1837" width="37.140625" style="180" customWidth="1"/>
    <col min="1838" max="1839" width="36.85546875" style="180" customWidth="1"/>
    <col min="1840" max="1840" width="36.5703125" style="180" customWidth="1"/>
    <col min="1841" max="1842" width="36.85546875" style="180" customWidth="1"/>
    <col min="1843" max="1843" width="36.5703125" style="180" customWidth="1"/>
    <col min="1844" max="1844" width="37" style="180" customWidth="1"/>
    <col min="1845" max="1863" width="36.85546875" style="180" customWidth="1"/>
    <col min="1864" max="1864" width="37" style="180" customWidth="1"/>
    <col min="1865" max="1882" width="36.85546875" style="180" customWidth="1"/>
    <col min="1883" max="1883" width="36.5703125" style="180" customWidth="1"/>
    <col min="1884" max="1896" width="36.85546875" style="180" customWidth="1"/>
    <col min="1897" max="1897" width="36.5703125" style="180" customWidth="1"/>
    <col min="1898" max="1900" width="36.85546875" style="180" customWidth="1"/>
    <col min="1901" max="1901" width="36.5703125" style="180" customWidth="1"/>
    <col min="1902" max="1909" width="36.85546875" style="180" customWidth="1"/>
    <col min="1910" max="1910" width="36.5703125" style="180" customWidth="1"/>
    <col min="1911" max="2048" width="36.85546875" style="180"/>
    <col min="2049" max="2049" width="18.5703125" style="180" customWidth="1"/>
    <col min="2050" max="2058" width="31.42578125" style="180" customWidth="1"/>
    <col min="2059" max="2075" width="36.85546875" style="180" customWidth="1"/>
    <col min="2076" max="2076" width="37" style="180" customWidth="1"/>
    <col min="2077" max="2092" width="36.85546875" style="180" customWidth="1"/>
    <col min="2093" max="2093" width="37.140625" style="180" customWidth="1"/>
    <col min="2094" max="2095" width="36.85546875" style="180" customWidth="1"/>
    <col min="2096" max="2096" width="36.5703125" style="180" customWidth="1"/>
    <col min="2097" max="2098" width="36.85546875" style="180" customWidth="1"/>
    <col min="2099" max="2099" width="36.5703125" style="180" customWidth="1"/>
    <col min="2100" max="2100" width="37" style="180" customWidth="1"/>
    <col min="2101" max="2119" width="36.85546875" style="180" customWidth="1"/>
    <col min="2120" max="2120" width="37" style="180" customWidth="1"/>
    <col min="2121" max="2138" width="36.85546875" style="180" customWidth="1"/>
    <col min="2139" max="2139" width="36.5703125" style="180" customWidth="1"/>
    <col min="2140" max="2152" width="36.85546875" style="180" customWidth="1"/>
    <col min="2153" max="2153" width="36.5703125" style="180" customWidth="1"/>
    <col min="2154" max="2156" width="36.85546875" style="180" customWidth="1"/>
    <col min="2157" max="2157" width="36.5703125" style="180" customWidth="1"/>
    <col min="2158" max="2165" width="36.85546875" style="180" customWidth="1"/>
    <col min="2166" max="2166" width="36.5703125" style="180" customWidth="1"/>
    <col min="2167" max="2304" width="36.85546875" style="180"/>
    <col min="2305" max="2305" width="18.5703125" style="180" customWidth="1"/>
    <col min="2306" max="2314" width="31.42578125" style="180" customWidth="1"/>
    <col min="2315" max="2331" width="36.85546875" style="180" customWidth="1"/>
    <col min="2332" max="2332" width="37" style="180" customWidth="1"/>
    <col min="2333" max="2348" width="36.85546875" style="180" customWidth="1"/>
    <col min="2349" max="2349" width="37.140625" style="180" customWidth="1"/>
    <col min="2350" max="2351" width="36.85546875" style="180" customWidth="1"/>
    <col min="2352" max="2352" width="36.5703125" style="180" customWidth="1"/>
    <col min="2353" max="2354" width="36.85546875" style="180" customWidth="1"/>
    <col min="2355" max="2355" width="36.5703125" style="180" customWidth="1"/>
    <col min="2356" max="2356" width="37" style="180" customWidth="1"/>
    <col min="2357" max="2375" width="36.85546875" style="180" customWidth="1"/>
    <col min="2376" max="2376" width="37" style="180" customWidth="1"/>
    <col min="2377" max="2394" width="36.85546875" style="180" customWidth="1"/>
    <col min="2395" max="2395" width="36.5703125" style="180" customWidth="1"/>
    <col min="2396" max="2408" width="36.85546875" style="180" customWidth="1"/>
    <col min="2409" max="2409" width="36.5703125" style="180" customWidth="1"/>
    <col min="2410" max="2412" width="36.85546875" style="180" customWidth="1"/>
    <col min="2413" max="2413" width="36.5703125" style="180" customWidth="1"/>
    <col min="2414" max="2421" width="36.85546875" style="180" customWidth="1"/>
    <col min="2422" max="2422" width="36.5703125" style="180" customWidth="1"/>
    <col min="2423" max="2560" width="36.85546875" style="180"/>
    <col min="2561" max="2561" width="18.5703125" style="180" customWidth="1"/>
    <col min="2562" max="2570" width="31.42578125" style="180" customWidth="1"/>
    <col min="2571" max="2587" width="36.85546875" style="180" customWidth="1"/>
    <col min="2588" max="2588" width="37" style="180" customWidth="1"/>
    <col min="2589" max="2604" width="36.85546875" style="180" customWidth="1"/>
    <col min="2605" max="2605" width="37.140625" style="180" customWidth="1"/>
    <col min="2606" max="2607" width="36.85546875" style="180" customWidth="1"/>
    <col min="2608" max="2608" width="36.5703125" style="180" customWidth="1"/>
    <col min="2609" max="2610" width="36.85546875" style="180" customWidth="1"/>
    <col min="2611" max="2611" width="36.5703125" style="180" customWidth="1"/>
    <col min="2612" max="2612" width="37" style="180" customWidth="1"/>
    <col min="2613" max="2631" width="36.85546875" style="180" customWidth="1"/>
    <col min="2632" max="2632" width="37" style="180" customWidth="1"/>
    <col min="2633" max="2650" width="36.85546875" style="180" customWidth="1"/>
    <col min="2651" max="2651" width="36.5703125" style="180" customWidth="1"/>
    <col min="2652" max="2664" width="36.85546875" style="180" customWidth="1"/>
    <col min="2665" max="2665" width="36.5703125" style="180" customWidth="1"/>
    <col min="2666" max="2668" width="36.85546875" style="180" customWidth="1"/>
    <col min="2669" max="2669" width="36.5703125" style="180" customWidth="1"/>
    <col min="2670" max="2677" width="36.85546875" style="180" customWidth="1"/>
    <col min="2678" max="2678" width="36.5703125" style="180" customWidth="1"/>
    <col min="2679" max="2816" width="36.85546875" style="180"/>
    <col min="2817" max="2817" width="18.5703125" style="180" customWidth="1"/>
    <col min="2818" max="2826" width="31.42578125" style="180" customWidth="1"/>
    <col min="2827" max="2843" width="36.85546875" style="180" customWidth="1"/>
    <col min="2844" max="2844" width="37" style="180" customWidth="1"/>
    <col min="2845" max="2860" width="36.85546875" style="180" customWidth="1"/>
    <col min="2861" max="2861" width="37.140625" style="180" customWidth="1"/>
    <col min="2862" max="2863" width="36.85546875" style="180" customWidth="1"/>
    <col min="2864" max="2864" width="36.5703125" style="180" customWidth="1"/>
    <col min="2865" max="2866" width="36.85546875" style="180" customWidth="1"/>
    <col min="2867" max="2867" width="36.5703125" style="180" customWidth="1"/>
    <col min="2868" max="2868" width="37" style="180" customWidth="1"/>
    <col min="2869" max="2887" width="36.85546875" style="180" customWidth="1"/>
    <col min="2888" max="2888" width="37" style="180" customWidth="1"/>
    <col min="2889" max="2906" width="36.85546875" style="180" customWidth="1"/>
    <col min="2907" max="2907" width="36.5703125" style="180" customWidth="1"/>
    <col min="2908" max="2920" width="36.85546875" style="180" customWidth="1"/>
    <col min="2921" max="2921" width="36.5703125" style="180" customWidth="1"/>
    <col min="2922" max="2924" width="36.85546875" style="180" customWidth="1"/>
    <col min="2925" max="2925" width="36.5703125" style="180" customWidth="1"/>
    <col min="2926" max="2933" width="36.85546875" style="180" customWidth="1"/>
    <col min="2934" max="2934" width="36.5703125" style="180" customWidth="1"/>
    <col min="2935" max="3072" width="36.85546875" style="180"/>
    <col min="3073" max="3073" width="18.5703125" style="180" customWidth="1"/>
    <col min="3074" max="3082" width="31.42578125" style="180" customWidth="1"/>
    <col min="3083" max="3099" width="36.85546875" style="180" customWidth="1"/>
    <col min="3100" max="3100" width="37" style="180" customWidth="1"/>
    <col min="3101" max="3116" width="36.85546875" style="180" customWidth="1"/>
    <col min="3117" max="3117" width="37.140625" style="180" customWidth="1"/>
    <col min="3118" max="3119" width="36.85546875" style="180" customWidth="1"/>
    <col min="3120" max="3120" width="36.5703125" style="180" customWidth="1"/>
    <col min="3121" max="3122" width="36.85546875" style="180" customWidth="1"/>
    <col min="3123" max="3123" width="36.5703125" style="180" customWidth="1"/>
    <col min="3124" max="3124" width="37" style="180" customWidth="1"/>
    <col min="3125" max="3143" width="36.85546875" style="180" customWidth="1"/>
    <col min="3144" max="3144" width="37" style="180" customWidth="1"/>
    <col min="3145" max="3162" width="36.85546875" style="180" customWidth="1"/>
    <col min="3163" max="3163" width="36.5703125" style="180" customWidth="1"/>
    <col min="3164" max="3176" width="36.85546875" style="180" customWidth="1"/>
    <col min="3177" max="3177" width="36.5703125" style="180" customWidth="1"/>
    <col min="3178" max="3180" width="36.85546875" style="180" customWidth="1"/>
    <col min="3181" max="3181" width="36.5703125" style="180" customWidth="1"/>
    <col min="3182" max="3189" width="36.85546875" style="180" customWidth="1"/>
    <col min="3190" max="3190" width="36.5703125" style="180" customWidth="1"/>
    <col min="3191" max="3328" width="36.85546875" style="180"/>
    <col min="3329" max="3329" width="18.5703125" style="180" customWidth="1"/>
    <col min="3330" max="3338" width="31.42578125" style="180" customWidth="1"/>
    <col min="3339" max="3355" width="36.85546875" style="180" customWidth="1"/>
    <col min="3356" max="3356" width="37" style="180" customWidth="1"/>
    <col min="3357" max="3372" width="36.85546875" style="180" customWidth="1"/>
    <col min="3373" max="3373" width="37.140625" style="180" customWidth="1"/>
    <col min="3374" max="3375" width="36.85546875" style="180" customWidth="1"/>
    <col min="3376" max="3376" width="36.5703125" style="180" customWidth="1"/>
    <col min="3377" max="3378" width="36.85546875" style="180" customWidth="1"/>
    <col min="3379" max="3379" width="36.5703125" style="180" customWidth="1"/>
    <col min="3380" max="3380" width="37" style="180" customWidth="1"/>
    <col min="3381" max="3399" width="36.85546875" style="180" customWidth="1"/>
    <col min="3400" max="3400" width="37" style="180" customWidth="1"/>
    <col min="3401" max="3418" width="36.85546875" style="180" customWidth="1"/>
    <col min="3419" max="3419" width="36.5703125" style="180" customWidth="1"/>
    <col min="3420" max="3432" width="36.85546875" style="180" customWidth="1"/>
    <col min="3433" max="3433" width="36.5703125" style="180" customWidth="1"/>
    <col min="3434" max="3436" width="36.85546875" style="180" customWidth="1"/>
    <col min="3437" max="3437" width="36.5703125" style="180" customWidth="1"/>
    <col min="3438" max="3445" width="36.85546875" style="180" customWidth="1"/>
    <col min="3446" max="3446" width="36.5703125" style="180" customWidth="1"/>
    <col min="3447" max="3584" width="36.85546875" style="180"/>
    <col min="3585" max="3585" width="18.5703125" style="180" customWidth="1"/>
    <col min="3586" max="3594" width="31.42578125" style="180" customWidth="1"/>
    <col min="3595" max="3611" width="36.85546875" style="180" customWidth="1"/>
    <col min="3612" max="3612" width="37" style="180" customWidth="1"/>
    <col min="3613" max="3628" width="36.85546875" style="180" customWidth="1"/>
    <col min="3629" max="3629" width="37.140625" style="180" customWidth="1"/>
    <col min="3630" max="3631" width="36.85546875" style="180" customWidth="1"/>
    <col min="3632" max="3632" width="36.5703125" style="180" customWidth="1"/>
    <col min="3633" max="3634" width="36.85546875" style="180" customWidth="1"/>
    <col min="3635" max="3635" width="36.5703125" style="180" customWidth="1"/>
    <col min="3636" max="3636" width="37" style="180" customWidth="1"/>
    <col min="3637" max="3655" width="36.85546875" style="180" customWidth="1"/>
    <col min="3656" max="3656" width="37" style="180" customWidth="1"/>
    <col min="3657" max="3674" width="36.85546875" style="180" customWidth="1"/>
    <col min="3675" max="3675" width="36.5703125" style="180" customWidth="1"/>
    <col min="3676" max="3688" width="36.85546875" style="180" customWidth="1"/>
    <col min="3689" max="3689" width="36.5703125" style="180" customWidth="1"/>
    <col min="3690" max="3692" width="36.85546875" style="180" customWidth="1"/>
    <col min="3693" max="3693" width="36.5703125" style="180" customWidth="1"/>
    <col min="3694" max="3701" width="36.85546875" style="180" customWidth="1"/>
    <col min="3702" max="3702" width="36.5703125" style="180" customWidth="1"/>
    <col min="3703" max="3840" width="36.85546875" style="180"/>
    <col min="3841" max="3841" width="18.5703125" style="180" customWidth="1"/>
    <col min="3842" max="3850" width="31.42578125" style="180" customWidth="1"/>
    <col min="3851" max="3867" width="36.85546875" style="180" customWidth="1"/>
    <col min="3868" max="3868" width="37" style="180" customWidth="1"/>
    <col min="3869" max="3884" width="36.85546875" style="180" customWidth="1"/>
    <col min="3885" max="3885" width="37.140625" style="180" customWidth="1"/>
    <col min="3886" max="3887" width="36.85546875" style="180" customWidth="1"/>
    <col min="3888" max="3888" width="36.5703125" style="180" customWidth="1"/>
    <col min="3889" max="3890" width="36.85546875" style="180" customWidth="1"/>
    <col min="3891" max="3891" width="36.5703125" style="180" customWidth="1"/>
    <col min="3892" max="3892" width="37" style="180" customWidth="1"/>
    <col min="3893" max="3911" width="36.85546875" style="180" customWidth="1"/>
    <col min="3912" max="3912" width="37" style="180" customWidth="1"/>
    <col min="3913" max="3930" width="36.85546875" style="180" customWidth="1"/>
    <col min="3931" max="3931" width="36.5703125" style="180" customWidth="1"/>
    <col min="3932" max="3944" width="36.85546875" style="180" customWidth="1"/>
    <col min="3945" max="3945" width="36.5703125" style="180" customWidth="1"/>
    <col min="3946" max="3948" width="36.85546875" style="180" customWidth="1"/>
    <col min="3949" max="3949" width="36.5703125" style="180" customWidth="1"/>
    <col min="3950" max="3957" width="36.85546875" style="180" customWidth="1"/>
    <col min="3958" max="3958" width="36.5703125" style="180" customWidth="1"/>
    <col min="3959" max="4096" width="36.85546875" style="180"/>
    <col min="4097" max="4097" width="18.5703125" style="180" customWidth="1"/>
    <col min="4098" max="4106" width="31.42578125" style="180" customWidth="1"/>
    <col min="4107" max="4123" width="36.85546875" style="180" customWidth="1"/>
    <col min="4124" max="4124" width="37" style="180" customWidth="1"/>
    <col min="4125" max="4140" width="36.85546875" style="180" customWidth="1"/>
    <col min="4141" max="4141" width="37.140625" style="180" customWidth="1"/>
    <col min="4142" max="4143" width="36.85546875" style="180" customWidth="1"/>
    <col min="4144" max="4144" width="36.5703125" style="180" customWidth="1"/>
    <col min="4145" max="4146" width="36.85546875" style="180" customWidth="1"/>
    <col min="4147" max="4147" width="36.5703125" style="180" customWidth="1"/>
    <col min="4148" max="4148" width="37" style="180" customWidth="1"/>
    <col min="4149" max="4167" width="36.85546875" style="180" customWidth="1"/>
    <col min="4168" max="4168" width="37" style="180" customWidth="1"/>
    <col min="4169" max="4186" width="36.85546875" style="180" customWidth="1"/>
    <col min="4187" max="4187" width="36.5703125" style="180" customWidth="1"/>
    <col min="4188" max="4200" width="36.85546875" style="180" customWidth="1"/>
    <col min="4201" max="4201" width="36.5703125" style="180" customWidth="1"/>
    <col min="4202" max="4204" width="36.85546875" style="180" customWidth="1"/>
    <col min="4205" max="4205" width="36.5703125" style="180" customWidth="1"/>
    <col min="4206" max="4213" width="36.85546875" style="180" customWidth="1"/>
    <col min="4214" max="4214" width="36.5703125" style="180" customWidth="1"/>
    <col min="4215" max="4352" width="36.85546875" style="180"/>
    <col min="4353" max="4353" width="18.5703125" style="180" customWidth="1"/>
    <col min="4354" max="4362" width="31.42578125" style="180" customWidth="1"/>
    <col min="4363" max="4379" width="36.85546875" style="180" customWidth="1"/>
    <col min="4380" max="4380" width="37" style="180" customWidth="1"/>
    <col min="4381" max="4396" width="36.85546875" style="180" customWidth="1"/>
    <col min="4397" max="4397" width="37.140625" style="180" customWidth="1"/>
    <col min="4398" max="4399" width="36.85546875" style="180" customWidth="1"/>
    <col min="4400" max="4400" width="36.5703125" style="180" customWidth="1"/>
    <col min="4401" max="4402" width="36.85546875" style="180" customWidth="1"/>
    <col min="4403" max="4403" width="36.5703125" style="180" customWidth="1"/>
    <col min="4404" max="4404" width="37" style="180" customWidth="1"/>
    <col min="4405" max="4423" width="36.85546875" style="180" customWidth="1"/>
    <col min="4424" max="4424" width="37" style="180" customWidth="1"/>
    <col min="4425" max="4442" width="36.85546875" style="180" customWidth="1"/>
    <col min="4443" max="4443" width="36.5703125" style="180" customWidth="1"/>
    <col min="4444" max="4456" width="36.85546875" style="180" customWidth="1"/>
    <col min="4457" max="4457" width="36.5703125" style="180" customWidth="1"/>
    <col min="4458" max="4460" width="36.85546875" style="180" customWidth="1"/>
    <col min="4461" max="4461" width="36.5703125" style="180" customWidth="1"/>
    <col min="4462" max="4469" width="36.85546875" style="180" customWidth="1"/>
    <col min="4470" max="4470" width="36.5703125" style="180" customWidth="1"/>
    <col min="4471" max="4608" width="36.85546875" style="180"/>
    <col min="4609" max="4609" width="18.5703125" style="180" customWidth="1"/>
    <col min="4610" max="4618" width="31.42578125" style="180" customWidth="1"/>
    <col min="4619" max="4635" width="36.85546875" style="180" customWidth="1"/>
    <col min="4636" max="4636" width="37" style="180" customWidth="1"/>
    <col min="4637" max="4652" width="36.85546875" style="180" customWidth="1"/>
    <col min="4653" max="4653" width="37.140625" style="180" customWidth="1"/>
    <col min="4654" max="4655" width="36.85546875" style="180" customWidth="1"/>
    <col min="4656" max="4656" width="36.5703125" style="180" customWidth="1"/>
    <col min="4657" max="4658" width="36.85546875" style="180" customWidth="1"/>
    <col min="4659" max="4659" width="36.5703125" style="180" customWidth="1"/>
    <col min="4660" max="4660" width="37" style="180" customWidth="1"/>
    <col min="4661" max="4679" width="36.85546875" style="180" customWidth="1"/>
    <col min="4680" max="4680" width="37" style="180" customWidth="1"/>
    <col min="4681" max="4698" width="36.85546875" style="180" customWidth="1"/>
    <col min="4699" max="4699" width="36.5703125" style="180" customWidth="1"/>
    <col min="4700" max="4712" width="36.85546875" style="180" customWidth="1"/>
    <col min="4713" max="4713" width="36.5703125" style="180" customWidth="1"/>
    <col min="4714" max="4716" width="36.85546875" style="180" customWidth="1"/>
    <col min="4717" max="4717" width="36.5703125" style="180" customWidth="1"/>
    <col min="4718" max="4725" width="36.85546875" style="180" customWidth="1"/>
    <col min="4726" max="4726" width="36.5703125" style="180" customWidth="1"/>
    <col min="4727" max="4864" width="36.85546875" style="180"/>
    <col min="4865" max="4865" width="18.5703125" style="180" customWidth="1"/>
    <col min="4866" max="4874" width="31.42578125" style="180" customWidth="1"/>
    <col min="4875" max="4891" width="36.85546875" style="180" customWidth="1"/>
    <col min="4892" max="4892" width="37" style="180" customWidth="1"/>
    <col min="4893" max="4908" width="36.85546875" style="180" customWidth="1"/>
    <col min="4909" max="4909" width="37.140625" style="180" customWidth="1"/>
    <col min="4910" max="4911" width="36.85546875" style="180" customWidth="1"/>
    <col min="4912" max="4912" width="36.5703125" style="180" customWidth="1"/>
    <col min="4913" max="4914" width="36.85546875" style="180" customWidth="1"/>
    <col min="4915" max="4915" width="36.5703125" style="180" customWidth="1"/>
    <col min="4916" max="4916" width="37" style="180" customWidth="1"/>
    <col min="4917" max="4935" width="36.85546875" style="180" customWidth="1"/>
    <col min="4936" max="4936" width="37" style="180" customWidth="1"/>
    <col min="4937" max="4954" width="36.85546875" style="180" customWidth="1"/>
    <col min="4955" max="4955" width="36.5703125" style="180" customWidth="1"/>
    <col min="4956" max="4968" width="36.85546875" style="180" customWidth="1"/>
    <col min="4969" max="4969" width="36.5703125" style="180" customWidth="1"/>
    <col min="4970" max="4972" width="36.85546875" style="180" customWidth="1"/>
    <col min="4973" max="4973" width="36.5703125" style="180" customWidth="1"/>
    <col min="4974" max="4981" width="36.85546875" style="180" customWidth="1"/>
    <col min="4982" max="4982" width="36.5703125" style="180" customWidth="1"/>
    <col min="4983" max="5120" width="36.85546875" style="180"/>
    <col min="5121" max="5121" width="18.5703125" style="180" customWidth="1"/>
    <col min="5122" max="5130" width="31.42578125" style="180" customWidth="1"/>
    <col min="5131" max="5147" width="36.85546875" style="180" customWidth="1"/>
    <col min="5148" max="5148" width="37" style="180" customWidth="1"/>
    <col min="5149" max="5164" width="36.85546875" style="180" customWidth="1"/>
    <col min="5165" max="5165" width="37.140625" style="180" customWidth="1"/>
    <col min="5166" max="5167" width="36.85546875" style="180" customWidth="1"/>
    <col min="5168" max="5168" width="36.5703125" style="180" customWidth="1"/>
    <col min="5169" max="5170" width="36.85546875" style="180" customWidth="1"/>
    <col min="5171" max="5171" width="36.5703125" style="180" customWidth="1"/>
    <col min="5172" max="5172" width="37" style="180" customWidth="1"/>
    <col min="5173" max="5191" width="36.85546875" style="180" customWidth="1"/>
    <col min="5192" max="5192" width="37" style="180" customWidth="1"/>
    <col min="5193" max="5210" width="36.85546875" style="180" customWidth="1"/>
    <col min="5211" max="5211" width="36.5703125" style="180" customWidth="1"/>
    <col min="5212" max="5224" width="36.85546875" style="180" customWidth="1"/>
    <col min="5225" max="5225" width="36.5703125" style="180" customWidth="1"/>
    <col min="5226" max="5228" width="36.85546875" style="180" customWidth="1"/>
    <col min="5229" max="5229" width="36.5703125" style="180" customWidth="1"/>
    <col min="5230" max="5237" width="36.85546875" style="180" customWidth="1"/>
    <col min="5238" max="5238" width="36.5703125" style="180" customWidth="1"/>
    <col min="5239" max="5376" width="36.85546875" style="180"/>
    <col min="5377" max="5377" width="18.5703125" style="180" customWidth="1"/>
    <col min="5378" max="5386" width="31.42578125" style="180" customWidth="1"/>
    <col min="5387" max="5403" width="36.85546875" style="180" customWidth="1"/>
    <col min="5404" max="5404" width="37" style="180" customWidth="1"/>
    <col min="5405" max="5420" width="36.85546875" style="180" customWidth="1"/>
    <col min="5421" max="5421" width="37.140625" style="180" customWidth="1"/>
    <col min="5422" max="5423" width="36.85546875" style="180" customWidth="1"/>
    <col min="5424" max="5424" width="36.5703125" style="180" customWidth="1"/>
    <col min="5425" max="5426" width="36.85546875" style="180" customWidth="1"/>
    <col min="5427" max="5427" width="36.5703125" style="180" customWidth="1"/>
    <col min="5428" max="5428" width="37" style="180" customWidth="1"/>
    <col min="5429" max="5447" width="36.85546875" style="180" customWidth="1"/>
    <col min="5448" max="5448" width="37" style="180" customWidth="1"/>
    <col min="5449" max="5466" width="36.85546875" style="180" customWidth="1"/>
    <col min="5467" max="5467" width="36.5703125" style="180" customWidth="1"/>
    <col min="5468" max="5480" width="36.85546875" style="180" customWidth="1"/>
    <col min="5481" max="5481" width="36.5703125" style="180" customWidth="1"/>
    <col min="5482" max="5484" width="36.85546875" style="180" customWidth="1"/>
    <col min="5485" max="5485" width="36.5703125" style="180" customWidth="1"/>
    <col min="5486" max="5493" width="36.85546875" style="180" customWidth="1"/>
    <col min="5494" max="5494" width="36.5703125" style="180" customWidth="1"/>
    <col min="5495" max="5632" width="36.85546875" style="180"/>
    <col min="5633" max="5633" width="18.5703125" style="180" customWidth="1"/>
    <col min="5634" max="5642" width="31.42578125" style="180" customWidth="1"/>
    <col min="5643" max="5659" width="36.85546875" style="180" customWidth="1"/>
    <col min="5660" max="5660" width="37" style="180" customWidth="1"/>
    <col min="5661" max="5676" width="36.85546875" style="180" customWidth="1"/>
    <col min="5677" max="5677" width="37.140625" style="180" customWidth="1"/>
    <col min="5678" max="5679" width="36.85546875" style="180" customWidth="1"/>
    <col min="5680" max="5680" width="36.5703125" style="180" customWidth="1"/>
    <col min="5681" max="5682" width="36.85546875" style="180" customWidth="1"/>
    <col min="5683" max="5683" width="36.5703125" style="180" customWidth="1"/>
    <col min="5684" max="5684" width="37" style="180" customWidth="1"/>
    <col min="5685" max="5703" width="36.85546875" style="180" customWidth="1"/>
    <col min="5704" max="5704" width="37" style="180" customWidth="1"/>
    <col min="5705" max="5722" width="36.85546875" style="180" customWidth="1"/>
    <col min="5723" max="5723" width="36.5703125" style="180" customWidth="1"/>
    <col min="5724" max="5736" width="36.85546875" style="180" customWidth="1"/>
    <col min="5737" max="5737" width="36.5703125" style="180" customWidth="1"/>
    <col min="5738" max="5740" width="36.85546875" style="180" customWidth="1"/>
    <col min="5741" max="5741" width="36.5703125" style="180" customWidth="1"/>
    <col min="5742" max="5749" width="36.85546875" style="180" customWidth="1"/>
    <col min="5750" max="5750" width="36.5703125" style="180" customWidth="1"/>
    <col min="5751" max="5888" width="36.85546875" style="180"/>
    <col min="5889" max="5889" width="18.5703125" style="180" customWidth="1"/>
    <col min="5890" max="5898" width="31.42578125" style="180" customWidth="1"/>
    <col min="5899" max="5915" width="36.85546875" style="180" customWidth="1"/>
    <col min="5916" max="5916" width="37" style="180" customWidth="1"/>
    <col min="5917" max="5932" width="36.85546875" style="180" customWidth="1"/>
    <col min="5933" max="5933" width="37.140625" style="180" customWidth="1"/>
    <col min="5934" max="5935" width="36.85546875" style="180" customWidth="1"/>
    <col min="5936" max="5936" width="36.5703125" style="180" customWidth="1"/>
    <col min="5937" max="5938" width="36.85546875" style="180" customWidth="1"/>
    <col min="5939" max="5939" width="36.5703125" style="180" customWidth="1"/>
    <col min="5940" max="5940" width="37" style="180" customWidth="1"/>
    <col min="5941" max="5959" width="36.85546875" style="180" customWidth="1"/>
    <col min="5960" max="5960" width="37" style="180" customWidth="1"/>
    <col min="5961" max="5978" width="36.85546875" style="180" customWidth="1"/>
    <col min="5979" max="5979" width="36.5703125" style="180" customWidth="1"/>
    <col min="5980" max="5992" width="36.85546875" style="180" customWidth="1"/>
    <col min="5993" max="5993" width="36.5703125" style="180" customWidth="1"/>
    <col min="5994" max="5996" width="36.85546875" style="180" customWidth="1"/>
    <col min="5997" max="5997" width="36.5703125" style="180" customWidth="1"/>
    <col min="5998" max="6005" width="36.85546875" style="180" customWidth="1"/>
    <col min="6006" max="6006" width="36.5703125" style="180" customWidth="1"/>
    <col min="6007" max="6144" width="36.85546875" style="180"/>
    <col min="6145" max="6145" width="18.5703125" style="180" customWidth="1"/>
    <col min="6146" max="6154" width="31.42578125" style="180" customWidth="1"/>
    <col min="6155" max="6171" width="36.85546875" style="180" customWidth="1"/>
    <col min="6172" max="6172" width="37" style="180" customWidth="1"/>
    <col min="6173" max="6188" width="36.85546875" style="180" customWidth="1"/>
    <col min="6189" max="6189" width="37.140625" style="180" customWidth="1"/>
    <col min="6190" max="6191" width="36.85546875" style="180" customWidth="1"/>
    <col min="6192" max="6192" width="36.5703125" style="180" customWidth="1"/>
    <col min="6193" max="6194" width="36.85546875" style="180" customWidth="1"/>
    <col min="6195" max="6195" width="36.5703125" style="180" customWidth="1"/>
    <col min="6196" max="6196" width="37" style="180" customWidth="1"/>
    <col min="6197" max="6215" width="36.85546875" style="180" customWidth="1"/>
    <col min="6216" max="6216" width="37" style="180" customWidth="1"/>
    <col min="6217" max="6234" width="36.85546875" style="180" customWidth="1"/>
    <col min="6235" max="6235" width="36.5703125" style="180" customWidth="1"/>
    <col min="6236" max="6248" width="36.85546875" style="180" customWidth="1"/>
    <col min="6249" max="6249" width="36.5703125" style="180" customWidth="1"/>
    <col min="6250" max="6252" width="36.85546875" style="180" customWidth="1"/>
    <col min="6253" max="6253" width="36.5703125" style="180" customWidth="1"/>
    <col min="6254" max="6261" width="36.85546875" style="180" customWidth="1"/>
    <col min="6262" max="6262" width="36.5703125" style="180" customWidth="1"/>
    <col min="6263" max="6400" width="36.85546875" style="180"/>
    <col min="6401" max="6401" width="18.5703125" style="180" customWidth="1"/>
    <col min="6402" max="6410" width="31.42578125" style="180" customWidth="1"/>
    <col min="6411" max="6427" width="36.85546875" style="180" customWidth="1"/>
    <col min="6428" max="6428" width="37" style="180" customWidth="1"/>
    <col min="6429" max="6444" width="36.85546875" style="180" customWidth="1"/>
    <col min="6445" max="6445" width="37.140625" style="180" customWidth="1"/>
    <col min="6446" max="6447" width="36.85546875" style="180" customWidth="1"/>
    <col min="6448" max="6448" width="36.5703125" style="180" customWidth="1"/>
    <col min="6449" max="6450" width="36.85546875" style="180" customWidth="1"/>
    <col min="6451" max="6451" width="36.5703125" style="180" customWidth="1"/>
    <col min="6452" max="6452" width="37" style="180" customWidth="1"/>
    <col min="6453" max="6471" width="36.85546875" style="180" customWidth="1"/>
    <col min="6472" max="6472" width="37" style="180" customWidth="1"/>
    <col min="6473" max="6490" width="36.85546875" style="180" customWidth="1"/>
    <col min="6491" max="6491" width="36.5703125" style="180" customWidth="1"/>
    <col min="6492" max="6504" width="36.85546875" style="180" customWidth="1"/>
    <col min="6505" max="6505" width="36.5703125" style="180" customWidth="1"/>
    <col min="6506" max="6508" width="36.85546875" style="180" customWidth="1"/>
    <col min="6509" max="6509" width="36.5703125" style="180" customWidth="1"/>
    <col min="6510" max="6517" width="36.85546875" style="180" customWidth="1"/>
    <col min="6518" max="6518" width="36.5703125" style="180" customWidth="1"/>
    <col min="6519" max="6656" width="36.85546875" style="180"/>
    <col min="6657" max="6657" width="18.5703125" style="180" customWidth="1"/>
    <col min="6658" max="6666" width="31.42578125" style="180" customWidth="1"/>
    <col min="6667" max="6683" width="36.85546875" style="180" customWidth="1"/>
    <col min="6684" max="6684" width="37" style="180" customWidth="1"/>
    <col min="6685" max="6700" width="36.85546875" style="180" customWidth="1"/>
    <col min="6701" max="6701" width="37.140625" style="180" customWidth="1"/>
    <col min="6702" max="6703" width="36.85546875" style="180" customWidth="1"/>
    <col min="6704" max="6704" width="36.5703125" style="180" customWidth="1"/>
    <col min="6705" max="6706" width="36.85546875" style="180" customWidth="1"/>
    <col min="6707" max="6707" width="36.5703125" style="180" customWidth="1"/>
    <col min="6708" max="6708" width="37" style="180" customWidth="1"/>
    <col min="6709" max="6727" width="36.85546875" style="180" customWidth="1"/>
    <col min="6728" max="6728" width="37" style="180" customWidth="1"/>
    <col min="6729" max="6746" width="36.85546875" style="180" customWidth="1"/>
    <col min="6747" max="6747" width="36.5703125" style="180" customWidth="1"/>
    <col min="6748" max="6760" width="36.85546875" style="180" customWidth="1"/>
    <col min="6761" max="6761" width="36.5703125" style="180" customWidth="1"/>
    <col min="6762" max="6764" width="36.85546875" style="180" customWidth="1"/>
    <col min="6765" max="6765" width="36.5703125" style="180" customWidth="1"/>
    <col min="6766" max="6773" width="36.85546875" style="180" customWidth="1"/>
    <col min="6774" max="6774" width="36.5703125" style="180" customWidth="1"/>
    <col min="6775" max="6912" width="36.85546875" style="180"/>
    <col min="6913" max="6913" width="18.5703125" style="180" customWidth="1"/>
    <col min="6914" max="6922" width="31.42578125" style="180" customWidth="1"/>
    <col min="6923" max="6939" width="36.85546875" style="180" customWidth="1"/>
    <col min="6940" max="6940" width="37" style="180" customWidth="1"/>
    <col min="6941" max="6956" width="36.85546875" style="180" customWidth="1"/>
    <col min="6957" max="6957" width="37.140625" style="180" customWidth="1"/>
    <col min="6958" max="6959" width="36.85546875" style="180" customWidth="1"/>
    <col min="6960" max="6960" width="36.5703125" style="180" customWidth="1"/>
    <col min="6961" max="6962" width="36.85546875" style="180" customWidth="1"/>
    <col min="6963" max="6963" width="36.5703125" style="180" customWidth="1"/>
    <col min="6964" max="6964" width="37" style="180" customWidth="1"/>
    <col min="6965" max="6983" width="36.85546875" style="180" customWidth="1"/>
    <col min="6984" max="6984" width="37" style="180" customWidth="1"/>
    <col min="6985" max="7002" width="36.85546875" style="180" customWidth="1"/>
    <col min="7003" max="7003" width="36.5703125" style="180" customWidth="1"/>
    <col min="7004" max="7016" width="36.85546875" style="180" customWidth="1"/>
    <col min="7017" max="7017" width="36.5703125" style="180" customWidth="1"/>
    <col min="7018" max="7020" width="36.85546875" style="180" customWidth="1"/>
    <col min="7021" max="7021" width="36.5703125" style="180" customWidth="1"/>
    <col min="7022" max="7029" width="36.85546875" style="180" customWidth="1"/>
    <col min="7030" max="7030" width="36.5703125" style="180" customWidth="1"/>
    <col min="7031" max="7168" width="36.85546875" style="180"/>
    <col min="7169" max="7169" width="18.5703125" style="180" customWidth="1"/>
    <col min="7170" max="7178" width="31.42578125" style="180" customWidth="1"/>
    <col min="7179" max="7195" width="36.85546875" style="180" customWidth="1"/>
    <col min="7196" max="7196" width="37" style="180" customWidth="1"/>
    <col min="7197" max="7212" width="36.85546875" style="180" customWidth="1"/>
    <col min="7213" max="7213" width="37.140625" style="180" customWidth="1"/>
    <col min="7214" max="7215" width="36.85546875" style="180" customWidth="1"/>
    <col min="7216" max="7216" width="36.5703125" style="180" customWidth="1"/>
    <col min="7217" max="7218" width="36.85546875" style="180" customWidth="1"/>
    <col min="7219" max="7219" width="36.5703125" style="180" customWidth="1"/>
    <col min="7220" max="7220" width="37" style="180" customWidth="1"/>
    <col min="7221" max="7239" width="36.85546875" style="180" customWidth="1"/>
    <col min="7240" max="7240" width="37" style="180" customWidth="1"/>
    <col min="7241" max="7258" width="36.85546875" style="180" customWidth="1"/>
    <col min="7259" max="7259" width="36.5703125" style="180" customWidth="1"/>
    <col min="7260" max="7272" width="36.85546875" style="180" customWidth="1"/>
    <col min="7273" max="7273" width="36.5703125" style="180" customWidth="1"/>
    <col min="7274" max="7276" width="36.85546875" style="180" customWidth="1"/>
    <col min="7277" max="7277" width="36.5703125" style="180" customWidth="1"/>
    <col min="7278" max="7285" width="36.85546875" style="180" customWidth="1"/>
    <col min="7286" max="7286" width="36.5703125" style="180" customWidth="1"/>
    <col min="7287" max="7424" width="36.85546875" style="180"/>
    <col min="7425" max="7425" width="18.5703125" style="180" customWidth="1"/>
    <col min="7426" max="7434" width="31.42578125" style="180" customWidth="1"/>
    <col min="7435" max="7451" width="36.85546875" style="180" customWidth="1"/>
    <col min="7452" max="7452" width="37" style="180" customWidth="1"/>
    <col min="7453" max="7468" width="36.85546875" style="180" customWidth="1"/>
    <col min="7469" max="7469" width="37.140625" style="180" customWidth="1"/>
    <col min="7470" max="7471" width="36.85546875" style="180" customWidth="1"/>
    <col min="7472" max="7472" width="36.5703125" style="180" customWidth="1"/>
    <col min="7473" max="7474" width="36.85546875" style="180" customWidth="1"/>
    <col min="7475" max="7475" width="36.5703125" style="180" customWidth="1"/>
    <col min="7476" max="7476" width="37" style="180" customWidth="1"/>
    <col min="7477" max="7495" width="36.85546875" style="180" customWidth="1"/>
    <col min="7496" max="7496" width="37" style="180" customWidth="1"/>
    <col min="7497" max="7514" width="36.85546875" style="180" customWidth="1"/>
    <col min="7515" max="7515" width="36.5703125" style="180" customWidth="1"/>
    <col min="7516" max="7528" width="36.85546875" style="180" customWidth="1"/>
    <col min="7529" max="7529" width="36.5703125" style="180" customWidth="1"/>
    <col min="7530" max="7532" width="36.85546875" style="180" customWidth="1"/>
    <col min="7533" max="7533" width="36.5703125" style="180" customWidth="1"/>
    <col min="7534" max="7541" width="36.85546875" style="180" customWidth="1"/>
    <col min="7542" max="7542" width="36.5703125" style="180" customWidth="1"/>
    <col min="7543" max="7680" width="36.85546875" style="180"/>
    <col min="7681" max="7681" width="18.5703125" style="180" customWidth="1"/>
    <col min="7682" max="7690" width="31.42578125" style="180" customWidth="1"/>
    <col min="7691" max="7707" width="36.85546875" style="180" customWidth="1"/>
    <col min="7708" max="7708" width="37" style="180" customWidth="1"/>
    <col min="7709" max="7724" width="36.85546875" style="180" customWidth="1"/>
    <col min="7725" max="7725" width="37.140625" style="180" customWidth="1"/>
    <col min="7726" max="7727" width="36.85546875" style="180" customWidth="1"/>
    <col min="7728" max="7728" width="36.5703125" style="180" customWidth="1"/>
    <col min="7729" max="7730" width="36.85546875" style="180" customWidth="1"/>
    <col min="7731" max="7731" width="36.5703125" style="180" customWidth="1"/>
    <col min="7732" max="7732" width="37" style="180" customWidth="1"/>
    <col min="7733" max="7751" width="36.85546875" style="180" customWidth="1"/>
    <col min="7752" max="7752" width="37" style="180" customWidth="1"/>
    <col min="7753" max="7770" width="36.85546875" style="180" customWidth="1"/>
    <col min="7771" max="7771" width="36.5703125" style="180" customWidth="1"/>
    <col min="7772" max="7784" width="36.85546875" style="180" customWidth="1"/>
    <col min="7785" max="7785" width="36.5703125" style="180" customWidth="1"/>
    <col min="7786" max="7788" width="36.85546875" style="180" customWidth="1"/>
    <col min="7789" max="7789" width="36.5703125" style="180" customWidth="1"/>
    <col min="7790" max="7797" width="36.85546875" style="180" customWidth="1"/>
    <col min="7798" max="7798" width="36.5703125" style="180" customWidth="1"/>
    <col min="7799" max="7936" width="36.85546875" style="180"/>
    <col min="7937" max="7937" width="18.5703125" style="180" customWidth="1"/>
    <col min="7938" max="7946" width="31.42578125" style="180" customWidth="1"/>
    <col min="7947" max="7963" width="36.85546875" style="180" customWidth="1"/>
    <col min="7964" max="7964" width="37" style="180" customWidth="1"/>
    <col min="7965" max="7980" width="36.85546875" style="180" customWidth="1"/>
    <col min="7981" max="7981" width="37.140625" style="180" customWidth="1"/>
    <col min="7982" max="7983" width="36.85546875" style="180" customWidth="1"/>
    <col min="7984" max="7984" width="36.5703125" style="180" customWidth="1"/>
    <col min="7985" max="7986" width="36.85546875" style="180" customWidth="1"/>
    <col min="7987" max="7987" width="36.5703125" style="180" customWidth="1"/>
    <col min="7988" max="7988" width="37" style="180" customWidth="1"/>
    <col min="7989" max="8007" width="36.85546875" style="180" customWidth="1"/>
    <col min="8008" max="8008" width="37" style="180" customWidth="1"/>
    <col min="8009" max="8026" width="36.85546875" style="180" customWidth="1"/>
    <col min="8027" max="8027" width="36.5703125" style="180" customWidth="1"/>
    <col min="8028" max="8040" width="36.85546875" style="180" customWidth="1"/>
    <col min="8041" max="8041" width="36.5703125" style="180" customWidth="1"/>
    <col min="8042" max="8044" width="36.85546875" style="180" customWidth="1"/>
    <col min="8045" max="8045" width="36.5703125" style="180" customWidth="1"/>
    <col min="8046" max="8053" width="36.85546875" style="180" customWidth="1"/>
    <col min="8054" max="8054" width="36.5703125" style="180" customWidth="1"/>
    <col min="8055" max="8192" width="36.85546875" style="180"/>
    <col min="8193" max="8193" width="18.5703125" style="180" customWidth="1"/>
    <col min="8194" max="8202" width="31.42578125" style="180" customWidth="1"/>
    <col min="8203" max="8219" width="36.85546875" style="180" customWidth="1"/>
    <col min="8220" max="8220" width="37" style="180" customWidth="1"/>
    <col min="8221" max="8236" width="36.85546875" style="180" customWidth="1"/>
    <col min="8237" max="8237" width="37.140625" style="180" customWidth="1"/>
    <col min="8238" max="8239" width="36.85546875" style="180" customWidth="1"/>
    <col min="8240" max="8240" width="36.5703125" style="180" customWidth="1"/>
    <col min="8241" max="8242" width="36.85546875" style="180" customWidth="1"/>
    <col min="8243" max="8243" width="36.5703125" style="180" customWidth="1"/>
    <col min="8244" max="8244" width="37" style="180" customWidth="1"/>
    <col min="8245" max="8263" width="36.85546875" style="180" customWidth="1"/>
    <col min="8264" max="8264" width="37" style="180" customWidth="1"/>
    <col min="8265" max="8282" width="36.85546875" style="180" customWidth="1"/>
    <col min="8283" max="8283" width="36.5703125" style="180" customWidth="1"/>
    <col min="8284" max="8296" width="36.85546875" style="180" customWidth="1"/>
    <col min="8297" max="8297" width="36.5703125" style="180" customWidth="1"/>
    <col min="8298" max="8300" width="36.85546875" style="180" customWidth="1"/>
    <col min="8301" max="8301" width="36.5703125" style="180" customWidth="1"/>
    <col min="8302" max="8309" width="36.85546875" style="180" customWidth="1"/>
    <col min="8310" max="8310" width="36.5703125" style="180" customWidth="1"/>
    <col min="8311" max="8448" width="36.85546875" style="180"/>
    <col min="8449" max="8449" width="18.5703125" style="180" customWidth="1"/>
    <col min="8450" max="8458" width="31.42578125" style="180" customWidth="1"/>
    <col min="8459" max="8475" width="36.85546875" style="180" customWidth="1"/>
    <col min="8476" max="8476" width="37" style="180" customWidth="1"/>
    <col min="8477" max="8492" width="36.85546875" style="180" customWidth="1"/>
    <col min="8493" max="8493" width="37.140625" style="180" customWidth="1"/>
    <col min="8494" max="8495" width="36.85546875" style="180" customWidth="1"/>
    <col min="8496" max="8496" width="36.5703125" style="180" customWidth="1"/>
    <col min="8497" max="8498" width="36.85546875" style="180" customWidth="1"/>
    <col min="8499" max="8499" width="36.5703125" style="180" customWidth="1"/>
    <col min="8500" max="8500" width="37" style="180" customWidth="1"/>
    <col min="8501" max="8519" width="36.85546875" style="180" customWidth="1"/>
    <col min="8520" max="8520" width="37" style="180" customWidth="1"/>
    <col min="8521" max="8538" width="36.85546875" style="180" customWidth="1"/>
    <col min="8539" max="8539" width="36.5703125" style="180" customWidth="1"/>
    <col min="8540" max="8552" width="36.85546875" style="180" customWidth="1"/>
    <col min="8553" max="8553" width="36.5703125" style="180" customWidth="1"/>
    <col min="8554" max="8556" width="36.85546875" style="180" customWidth="1"/>
    <col min="8557" max="8557" width="36.5703125" style="180" customWidth="1"/>
    <col min="8558" max="8565" width="36.85546875" style="180" customWidth="1"/>
    <col min="8566" max="8566" width="36.5703125" style="180" customWidth="1"/>
    <col min="8567" max="8704" width="36.85546875" style="180"/>
    <col min="8705" max="8705" width="18.5703125" style="180" customWidth="1"/>
    <col min="8706" max="8714" width="31.42578125" style="180" customWidth="1"/>
    <col min="8715" max="8731" width="36.85546875" style="180" customWidth="1"/>
    <col min="8732" max="8732" width="37" style="180" customWidth="1"/>
    <col min="8733" max="8748" width="36.85546875" style="180" customWidth="1"/>
    <col min="8749" max="8749" width="37.140625" style="180" customWidth="1"/>
    <col min="8750" max="8751" width="36.85546875" style="180" customWidth="1"/>
    <col min="8752" max="8752" width="36.5703125" style="180" customWidth="1"/>
    <col min="8753" max="8754" width="36.85546875" style="180" customWidth="1"/>
    <col min="8755" max="8755" width="36.5703125" style="180" customWidth="1"/>
    <col min="8756" max="8756" width="37" style="180" customWidth="1"/>
    <col min="8757" max="8775" width="36.85546875" style="180" customWidth="1"/>
    <col min="8776" max="8776" width="37" style="180" customWidth="1"/>
    <col min="8777" max="8794" width="36.85546875" style="180" customWidth="1"/>
    <col min="8795" max="8795" width="36.5703125" style="180" customWidth="1"/>
    <col min="8796" max="8808" width="36.85546875" style="180" customWidth="1"/>
    <col min="8809" max="8809" width="36.5703125" style="180" customWidth="1"/>
    <col min="8810" max="8812" width="36.85546875" style="180" customWidth="1"/>
    <col min="8813" max="8813" width="36.5703125" style="180" customWidth="1"/>
    <col min="8814" max="8821" width="36.85546875" style="180" customWidth="1"/>
    <col min="8822" max="8822" width="36.5703125" style="180" customWidth="1"/>
    <col min="8823" max="8960" width="36.85546875" style="180"/>
    <col min="8961" max="8961" width="18.5703125" style="180" customWidth="1"/>
    <col min="8962" max="8970" width="31.42578125" style="180" customWidth="1"/>
    <col min="8971" max="8987" width="36.85546875" style="180" customWidth="1"/>
    <col min="8988" max="8988" width="37" style="180" customWidth="1"/>
    <col min="8989" max="9004" width="36.85546875" style="180" customWidth="1"/>
    <col min="9005" max="9005" width="37.140625" style="180" customWidth="1"/>
    <col min="9006" max="9007" width="36.85546875" style="180" customWidth="1"/>
    <col min="9008" max="9008" width="36.5703125" style="180" customWidth="1"/>
    <col min="9009" max="9010" width="36.85546875" style="180" customWidth="1"/>
    <col min="9011" max="9011" width="36.5703125" style="180" customWidth="1"/>
    <col min="9012" max="9012" width="37" style="180" customWidth="1"/>
    <col min="9013" max="9031" width="36.85546875" style="180" customWidth="1"/>
    <col min="9032" max="9032" width="37" style="180" customWidth="1"/>
    <col min="9033" max="9050" width="36.85546875" style="180" customWidth="1"/>
    <col min="9051" max="9051" width="36.5703125" style="180" customWidth="1"/>
    <col min="9052" max="9064" width="36.85546875" style="180" customWidth="1"/>
    <col min="9065" max="9065" width="36.5703125" style="180" customWidth="1"/>
    <col min="9066" max="9068" width="36.85546875" style="180" customWidth="1"/>
    <col min="9069" max="9069" width="36.5703125" style="180" customWidth="1"/>
    <col min="9070" max="9077" width="36.85546875" style="180" customWidth="1"/>
    <col min="9078" max="9078" width="36.5703125" style="180" customWidth="1"/>
    <col min="9079" max="9216" width="36.85546875" style="180"/>
    <col min="9217" max="9217" width="18.5703125" style="180" customWidth="1"/>
    <col min="9218" max="9226" width="31.42578125" style="180" customWidth="1"/>
    <col min="9227" max="9243" width="36.85546875" style="180" customWidth="1"/>
    <col min="9244" max="9244" width="37" style="180" customWidth="1"/>
    <col min="9245" max="9260" width="36.85546875" style="180" customWidth="1"/>
    <col min="9261" max="9261" width="37.140625" style="180" customWidth="1"/>
    <col min="9262" max="9263" width="36.85546875" style="180" customWidth="1"/>
    <col min="9264" max="9264" width="36.5703125" style="180" customWidth="1"/>
    <col min="9265" max="9266" width="36.85546875" style="180" customWidth="1"/>
    <col min="9267" max="9267" width="36.5703125" style="180" customWidth="1"/>
    <col min="9268" max="9268" width="37" style="180" customWidth="1"/>
    <col min="9269" max="9287" width="36.85546875" style="180" customWidth="1"/>
    <col min="9288" max="9288" width="37" style="180" customWidth="1"/>
    <col min="9289" max="9306" width="36.85546875" style="180" customWidth="1"/>
    <col min="9307" max="9307" width="36.5703125" style="180" customWidth="1"/>
    <col min="9308" max="9320" width="36.85546875" style="180" customWidth="1"/>
    <col min="9321" max="9321" width="36.5703125" style="180" customWidth="1"/>
    <col min="9322" max="9324" width="36.85546875" style="180" customWidth="1"/>
    <col min="9325" max="9325" width="36.5703125" style="180" customWidth="1"/>
    <col min="9326" max="9333" width="36.85546875" style="180" customWidth="1"/>
    <col min="9334" max="9334" width="36.5703125" style="180" customWidth="1"/>
    <col min="9335" max="9472" width="36.85546875" style="180"/>
    <col min="9473" max="9473" width="18.5703125" style="180" customWidth="1"/>
    <col min="9474" max="9482" width="31.42578125" style="180" customWidth="1"/>
    <col min="9483" max="9499" width="36.85546875" style="180" customWidth="1"/>
    <col min="9500" max="9500" width="37" style="180" customWidth="1"/>
    <col min="9501" max="9516" width="36.85546875" style="180" customWidth="1"/>
    <col min="9517" max="9517" width="37.140625" style="180" customWidth="1"/>
    <col min="9518" max="9519" width="36.85546875" style="180" customWidth="1"/>
    <col min="9520" max="9520" width="36.5703125" style="180" customWidth="1"/>
    <col min="9521" max="9522" width="36.85546875" style="180" customWidth="1"/>
    <col min="9523" max="9523" width="36.5703125" style="180" customWidth="1"/>
    <col min="9524" max="9524" width="37" style="180" customWidth="1"/>
    <col min="9525" max="9543" width="36.85546875" style="180" customWidth="1"/>
    <col min="9544" max="9544" width="37" style="180" customWidth="1"/>
    <col min="9545" max="9562" width="36.85546875" style="180" customWidth="1"/>
    <col min="9563" max="9563" width="36.5703125" style="180" customWidth="1"/>
    <col min="9564" max="9576" width="36.85546875" style="180" customWidth="1"/>
    <col min="9577" max="9577" width="36.5703125" style="180" customWidth="1"/>
    <col min="9578" max="9580" width="36.85546875" style="180" customWidth="1"/>
    <col min="9581" max="9581" width="36.5703125" style="180" customWidth="1"/>
    <col min="9582" max="9589" width="36.85546875" style="180" customWidth="1"/>
    <col min="9590" max="9590" width="36.5703125" style="180" customWidth="1"/>
    <col min="9591" max="9728" width="36.85546875" style="180"/>
    <col min="9729" max="9729" width="18.5703125" style="180" customWidth="1"/>
    <col min="9730" max="9738" width="31.42578125" style="180" customWidth="1"/>
    <col min="9739" max="9755" width="36.85546875" style="180" customWidth="1"/>
    <col min="9756" max="9756" width="37" style="180" customWidth="1"/>
    <col min="9757" max="9772" width="36.85546875" style="180" customWidth="1"/>
    <col min="9773" max="9773" width="37.140625" style="180" customWidth="1"/>
    <col min="9774" max="9775" width="36.85546875" style="180" customWidth="1"/>
    <col min="9776" max="9776" width="36.5703125" style="180" customWidth="1"/>
    <col min="9777" max="9778" width="36.85546875" style="180" customWidth="1"/>
    <col min="9779" max="9779" width="36.5703125" style="180" customWidth="1"/>
    <col min="9780" max="9780" width="37" style="180" customWidth="1"/>
    <col min="9781" max="9799" width="36.85546875" style="180" customWidth="1"/>
    <col min="9800" max="9800" width="37" style="180" customWidth="1"/>
    <col min="9801" max="9818" width="36.85546875" style="180" customWidth="1"/>
    <col min="9819" max="9819" width="36.5703125" style="180" customWidth="1"/>
    <col min="9820" max="9832" width="36.85546875" style="180" customWidth="1"/>
    <col min="9833" max="9833" width="36.5703125" style="180" customWidth="1"/>
    <col min="9834" max="9836" width="36.85546875" style="180" customWidth="1"/>
    <col min="9837" max="9837" width="36.5703125" style="180" customWidth="1"/>
    <col min="9838" max="9845" width="36.85546875" style="180" customWidth="1"/>
    <col min="9846" max="9846" width="36.5703125" style="180" customWidth="1"/>
    <col min="9847" max="9984" width="36.85546875" style="180"/>
    <col min="9985" max="9985" width="18.5703125" style="180" customWidth="1"/>
    <col min="9986" max="9994" width="31.42578125" style="180" customWidth="1"/>
    <col min="9995" max="10011" width="36.85546875" style="180" customWidth="1"/>
    <col min="10012" max="10012" width="37" style="180" customWidth="1"/>
    <col min="10013" max="10028" width="36.85546875" style="180" customWidth="1"/>
    <col min="10029" max="10029" width="37.140625" style="180" customWidth="1"/>
    <col min="10030" max="10031" width="36.85546875" style="180" customWidth="1"/>
    <col min="10032" max="10032" width="36.5703125" style="180" customWidth="1"/>
    <col min="10033" max="10034" width="36.85546875" style="180" customWidth="1"/>
    <col min="10035" max="10035" width="36.5703125" style="180" customWidth="1"/>
    <col min="10036" max="10036" width="37" style="180" customWidth="1"/>
    <col min="10037" max="10055" width="36.85546875" style="180" customWidth="1"/>
    <col min="10056" max="10056" width="37" style="180" customWidth="1"/>
    <col min="10057" max="10074" width="36.85546875" style="180" customWidth="1"/>
    <col min="10075" max="10075" width="36.5703125" style="180" customWidth="1"/>
    <col min="10076" max="10088" width="36.85546875" style="180" customWidth="1"/>
    <col min="10089" max="10089" width="36.5703125" style="180" customWidth="1"/>
    <col min="10090" max="10092" width="36.85546875" style="180" customWidth="1"/>
    <col min="10093" max="10093" width="36.5703125" style="180" customWidth="1"/>
    <col min="10094" max="10101" width="36.85546875" style="180" customWidth="1"/>
    <col min="10102" max="10102" width="36.5703125" style="180" customWidth="1"/>
    <col min="10103" max="10240" width="36.85546875" style="180"/>
    <col min="10241" max="10241" width="18.5703125" style="180" customWidth="1"/>
    <col min="10242" max="10250" width="31.42578125" style="180" customWidth="1"/>
    <col min="10251" max="10267" width="36.85546875" style="180" customWidth="1"/>
    <col min="10268" max="10268" width="37" style="180" customWidth="1"/>
    <col min="10269" max="10284" width="36.85546875" style="180" customWidth="1"/>
    <col min="10285" max="10285" width="37.140625" style="180" customWidth="1"/>
    <col min="10286" max="10287" width="36.85546875" style="180" customWidth="1"/>
    <col min="10288" max="10288" width="36.5703125" style="180" customWidth="1"/>
    <col min="10289" max="10290" width="36.85546875" style="180" customWidth="1"/>
    <col min="10291" max="10291" width="36.5703125" style="180" customWidth="1"/>
    <col min="10292" max="10292" width="37" style="180" customWidth="1"/>
    <col min="10293" max="10311" width="36.85546875" style="180" customWidth="1"/>
    <col min="10312" max="10312" width="37" style="180" customWidth="1"/>
    <col min="10313" max="10330" width="36.85546875" style="180" customWidth="1"/>
    <col min="10331" max="10331" width="36.5703125" style="180" customWidth="1"/>
    <col min="10332" max="10344" width="36.85546875" style="180" customWidth="1"/>
    <col min="10345" max="10345" width="36.5703125" style="180" customWidth="1"/>
    <col min="10346" max="10348" width="36.85546875" style="180" customWidth="1"/>
    <col min="10349" max="10349" width="36.5703125" style="180" customWidth="1"/>
    <col min="10350" max="10357" width="36.85546875" style="180" customWidth="1"/>
    <col min="10358" max="10358" width="36.5703125" style="180" customWidth="1"/>
    <col min="10359" max="10496" width="36.85546875" style="180"/>
    <col min="10497" max="10497" width="18.5703125" style="180" customWidth="1"/>
    <col min="10498" max="10506" width="31.42578125" style="180" customWidth="1"/>
    <col min="10507" max="10523" width="36.85546875" style="180" customWidth="1"/>
    <col min="10524" max="10524" width="37" style="180" customWidth="1"/>
    <col min="10525" max="10540" width="36.85546875" style="180" customWidth="1"/>
    <col min="10541" max="10541" width="37.140625" style="180" customWidth="1"/>
    <col min="10542" max="10543" width="36.85546875" style="180" customWidth="1"/>
    <col min="10544" max="10544" width="36.5703125" style="180" customWidth="1"/>
    <col min="10545" max="10546" width="36.85546875" style="180" customWidth="1"/>
    <col min="10547" max="10547" width="36.5703125" style="180" customWidth="1"/>
    <col min="10548" max="10548" width="37" style="180" customWidth="1"/>
    <col min="10549" max="10567" width="36.85546875" style="180" customWidth="1"/>
    <col min="10568" max="10568" width="37" style="180" customWidth="1"/>
    <col min="10569" max="10586" width="36.85546875" style="180" customWidth="1"/>
    <col min="10587" max="10587" width="36.5703125" style="180" customWidth="1"/>
    <col min="10588" max="10600" width="36.85546875" style="180" customWidth="1"/>
    <col min="10601" max="10601" width="36.5703125" style="180" customWidth="1"/>
    <col min="10602" max="10604" width="36.85546875" style="180" customWidth="1"/>
    <col min="10605" max="10605" width="36.5703125" style="180" customWidth="1"/>
    <col min="10606" max="10613" width="36.85546875" style="180" customWidth="1"/>
    <col min="10614" max="10614" width="36.5703125" style="180" customWidth="1"/>
    <col min="10615" max="10752" width="36.85546875" style="180"/>
    <col min="10753" max="10753" width="18.5703125" style="180" customWidth="1"/>
    <col min="10754" max="10762" width="31.42578125" style="180" customWidth="1"/>
    <col min="10763" max="10779" width="36.85546875" style="180" customWidth="1"/>
    <col min="10780" max="10780" width="37" style="180" customWidth="1"/>
    <col min="10781" max="10796" width="36.85546875" style="180" customWidth="1"/>
    <col min="10797" max="10797" width="37.140625" style="180" customWidth="1"/>
    <col min="10798" max="10799" width="36.85546875" style="180" customWidth="1"/>
    <col min="10800" max="10800" width="36.5703125" style="180" customWidth="1"/>
    <col min="10801" max="10802" width="36.85546875" style="180" customWidth="1"/>
    <col min="10803" max="10803" width="36.5703125" style="180" customWidth="1"/>
    <col min="10804" max="10804" width="37" style="180" customWidth="1"/>
    <col min="10805" max="10823" width="36.85546875" style="180" customWidth="1"/>
    <col min="10824" max="10824" width="37" style="180" customWidth="1"/>
    <col min="10825" max="10842" width="36.85546875" style="180" customWidth="1"/>
    <col min="10843" max="10843" width="36.5703125" style="180" customWidth="1"/>
    <col min="10844" max="10856" width="36.85546875" style="180" customWidth="1"/>
    <col min="10857" max="10857" width="36.5703125" style="180" customWidth="1"/>
    <col min="10858" max="10860" width="36.85546875" style="180" customWidth="1"/>
    <col min="10861" max="10861" width="36.5703125" style="180" customWidth="1"/>
    <col min="10862" max="10869" width="36.85546875" style="180" customWidth="1"/>
    <col min="10870" max="10870" width="36.5703125" style="180" customWidth="1"/>
    <col min="10871" max="11008" width="36.85546875" style="180"/>
    <col min="11009" max="11009" width="18.5703125" style="180" customWidth="1"/>
    <col min="11010" max="11018" width="31.42578125" style="180" customWidth="1"/>
    <col min="11019" max="11035" width="36.85546875" style="180" customWidth="1"/>
    <col min="11036" max="11036" width="37" style="180" customWidth="1"/>
    <col min="11037" max="11052" width="36.85546875" style="180" customWidth="1"/>
    <col min="11053" max="11053" width="37.140625" style="180" customWidth="1"/>
    <col min="11054" max="11055" width="36.85546875" style="180" customWidth="1"/>
    <col min="11056" max="11056" width="36.5703125" style="180" customWidth="1"/>
    <col min="11057" max="11058" width="36.85546875" style="180" customWidth="1"/>
    <col min="11059" max="11059" width="36.5703125" style="180" customWidth="1"/>
    <col min="11060" max="11060" width="37" style="180" customWidth="1"/>
    <col min="11061" max="11079" width="36.85546875" style="180" customWidth="1"/>
    <col min="11080" max="11080" width="37" style="180" customWidth="1"/>
    <col min="11081" max="11098" width="36.85546875" style="180" customWidth="1"/>
    <col min="11099" max="11099" width="36.5703125" style="180" customWidth="1"/>
    <col min="11100" max="11112" width="36.85546875" style="180" customWidth="1"/>
    <col min="11113" max="11113" width="36.5703125" style="180" customWidth="1"/>
    <col min="11114" max="11116" width="36.85546875" style="180" customWidth="1"/>
    <col min="11117" max="11117" width="36.5703125" style="180" customWidth="1"/>
    <col min="11118" max="11125" width="36.85546875" style="180" customWidth="1"/>
    <col min="11126" max="11126" width="36.5703125" style="180" customWidth="1"/>
    <col min="11127" max="11264" width="36.85546875" style="180"/>
    <col min="11265" max="11265" width="18.5703125" style="180" customWidth="1"/>
    <col min="11266" max="11274" width="31.42578125" style="180" customWidth="1"/>
    <col min="11275" max="11291" width="36.85546875" style="180" customWidth="1"/>
    <col min="11292" max="11292" width="37" style="180" customWidth="1"/>
    <col min="11293" max="11308" width="36.85546875" style="180" customWidth="1"/>
    <col min="11309" max="11309" width="37.140625" style="180" customWidth="1"/>
    <col min="11310" max="11311" width="36.85546875" style="180" customWidth="1"/>
    <col min="11312" max="11312" width="36.5703125" style="180" customWidth="1"/>
    <col min="11313" max="11314" width="36.85546875" style="180" customWidth="1"/>
    <col min="11315" max="11315" width="36.5703125" style="180" customWidth="1"/>
    <col min="11316" max="11316" width="37" style="180" customWidth="1"/>
    <col min="11317" max="11335" width="36.85546875" style="180" customWidth="1"/>
    <col min="11336" max="11336" width="37" style="180" customWidth="1"/>
    <col min="11337" max="11354" width="36.85546875" style="180" customWidth="1"/>
    <col min="11355" max="11355" width="36.5703125" style="180" customWidth="1"/>
    <col min="11356" max="11368" width="36.85546875" style="180" customWidth="1"/>
    <col min="11369" max="11369" width="36.5703125" style="180" customWidth="1"/>
    <col min="11370" max="11372" width="36.85546875" style="180" customWidth="1"/>
    <col min="11373" max="11373" width="36.5703125" style="180" customWidth="1"/>
    <col min="11374" max="11381" width="36.85546875" style="180" customWidth="1"/>
    <col min="11382" max="11382" width="36.5703125" style="180" customWidth="1"/>
    <col min="11383" max="11520" width="36.85546875" style="180"/>
    <col min="11521" max="11521" width="18.5703125" style="180" customWidth="1"/>
    <col min="11522" max="11530" width="31.42578125" style="180" customWidth="1"/>
    <col min="11531" max="11547" width="36.85546875" style="180" customWidth="1"/>
    <col min="11548" max="11548" width="37" style="180" customWidth="1"/>
    <col min="11549" max="11564" width="36.85546875" style="180" customWidth="1"/>
    <col min="11565" max="11565" width="37.140625" style="180" customWidth="1"/>
    <col min="11566" max="11567" width="36.85546875" style="180" customWidth="1"/>
    <col min="11568" max="11568" width="36.5703125" style="180" customWidth="1"/>
    <col min="11569" max="11570" width="36.85546875" style="180" customWidth="1"/>
    <col min="11571" max="11571" width="36.5703125" style="180" customWidth="1"/>
    <col min="11572" max="11572" width="37" style="180" customWidth="1"/>
    <col min="11573" max="11591" width="36.85546875" style="180" customWidth="1"/>
    <col min="11592" max="11592" width="37" style="180" customWidth="1"/>
    <col min="11593" max="11610" width="36.85546875" style="180" customWidth="1"/>
    <col min="11611" max="11611" width="36.5703125" style="180" customWidth="1"/>
    <col min="11612" max="11624" width="36.85546875" style="180" customWidth="1"/>
    <col min="11625" max="11625" width="36.5703125" style="180" customWidth="1"/>
    <col min="11626" max="11628" width="36.85546875" style="180" customWidth="1"/>
    <col min="11629" max="11629" width="36.5703125" style="180" customWidth="1"/>
    <col min="11630" max="11637" width="36.85546875" style="180" customWidth="1"/>
    <col min="11638" max="11638" width="36.5703125" style="180" customWidth="1"/>
    <col min="11639" max="11776" width="36.85546875" style="180"/>
    <col min="11777" max="11777" width="18.5703125" style="180" customWidth="1"/>
    <col min="11778" max="11786" width="31.42578125" style="180" customWidth="1"/>
    <col min="11787" max="11803" width="36.85546875" style="180" customWidth="1"/>
    <col min="11804" max="11804" width="37" style="180" customWidth="1"/>
    <col min="11805" max="11820" width="36.85546875" style="180" customWidth="1"/>
    <col min="11821" max="11821" width="37.140625" style="180" customWidth="1"/>
    <col min="11822" max="11823" width="36.85546875" style="180" customWidth="1"/>
    <col min="11824" max="11824" width="36.5703125" style="180" customWidth="1"/>
    <col min="11825" max="11826" width="36.85546875" style="180" customWidth="1"/>
    <col min="11827" max="11827" width="36.5703125" style="180" customWidth="1"/>
    <col min="11828" max="11828" width="37" style="180" customWidth="1"/>
    <col min="11829" max="11847" width="36.85546875" style="180" customWidth="1"/>
    <col min="11848" max="11848" width="37" style="180" customWidth="1"/>
    <col min="11849" max="11866" width="36.85546875" style="180" customWidth="1"/>
    <col min="11867" max="11867" width="36.5703125" style="180" customWidth="1"/>
    <col min="11868" max="11880" width="36.85546875" style="180" customWidth="1"/>
    <col min="11881" max="11881" width="36.5703125" style="180" customWidth="1"/>
    <col min="11882" max="11884" width="36.85546875" style="180" customWidth="1"/>
    <col min="11885" max="11885" width="36.5703125" style="180" customWidth="1"/>
    <col min="11886" max="11893" width="36.85546875" style="180" customWidth="1"/>
    <col min="11894" max="11894" width="36.5703125" style="180" customWidth="1"/>
    <col min="11895" max="12032" width="36.85546875" style="180"/>
    <col min="12033" max="12033" width="18.5703125" style="180" customWidth="1"/>
    <col min="12034" max="12042" width="31.42578125" style="180" customWidth="1"/>
    <col min="12043" max="12059" width="36.85546875" style="180" customWidth="1"/>
    <col min="12060" max="12060" width="37" style="180" customWidth="1"/>
    <col min="12061" max="12076" width="36.85546875" style="180" customWidth="1"/>
    <col min="12077" max="12077" width="37.140625" style="180" customWidth="1"/>
    <col min="12078" max="12079" width="36.85546875" style="180" customWidth="1"/>
    <col min="12080" max="12080" width="36.5703125" style="180" customWidth="1"/>
    <col min="12081" max="12082" width="36.85546875" style="180" customWidth="1"/>
    <col min="12083" max="12083" width="36.5703125" style="180" customWidth="1"/>
    <col min="12084" max="12084" width="37" style="180" customWidth="1"/>
    <col min="12085" max="12103" width="36.85546875" style="180" customWidth="1"/>
    <col min="12104" max="12104" width="37" style="180" customWidth="1"/>
    <col min="12105" max="12122" width="36.85546875" style="180" customWidth="1"/>
    <col min="12123" max="12123" width="36.5703125" style="180" customWidth="1"/>
    <col min="12124" max="12136" width="36.85546875" style="180" customWidth="1"/>
    <col min="12137" max="12137" width="36.5703125" style="180" customWidth="1"/>
    <col min="12138" max="12140" width="36.85546875" style="180" customWidth="1"/>
    <col min="12141" max="12141" width="36.5703125" style="180" customWidth="1"/>
    <col min="12142" max="12149" width="36.85546875" style="180" customWidth="1"/>
    <col min="12150" max="12150" width="36.5703125" style="180" customWidth="1"/>
    <col min="12151" max="12288" width="36.85546875" style="180"/>
    <col min="12289" max="12289" width="18.5703125" style="180" customWidth="1"/>
    <col min="12290" max="12298" width="31.42578125" style="180" customWidth="1"/>
    <col min="12299" max="12315" width="36.85546875" style="180" customWidth="1"/>
    <col min="12316" max="12316" width="37" style="180" customWidth="1"/>
    <col min="12317" max="12332" width="36.85546875" style="180" customWidth="1"/>
    <col min="12333" max="12333" width="37.140625" style="180" customWidth="1"/>
    <col min="12334" max="12335" width="36.85546875" style="180" customWidth="1"/>
    <col min="12336" max="12336" width="36.5703125" style="180" customWidth="1"/>
    <col min="12337" max="12338" width="36.85546875" style="180" customWidth="1"/>
    <col min="12339" max="12339" width="36.5703125" style="180" customWidth="1"/>
    <col min="12340" max="12340" width="37" style="180" customWidth="1"/>
    <col min="12341" max="12359" width="36.85546875" style="180" customWidth="1"/>
    <col min="12360" max="12360" width="37" style="180" customWidth="1"/>
    <col min="12361" max="12378" width="36.85546875" style="180" customWidth="1"/>
    <col min="12379" max="12379" width="36.5703125" style="180" customWidth="1"/>
    <col min="12380" max="12392" width="36.85546875" style="180" customWidth="1"/>
    <col min="12393" max="12393" width="36.5703125" style="180" customWidth="1"/>
    <col min="12394" max="12396" width="36.85546875" style="180" customWidth="1"/>
    <col min="12397" max="12397" width="36.5703125" style="180" customWidth="1"/>
    <col min="12398" max="12405" width="36.85546875" style="180" customWidth="1"/>
    <col min="12406" max="12406" width="36.5703125" style="180" customWidth="1"/>
    <col min="12407" max="12544" width="36.85546875" style="180"/>
    <col min="12545" max="12545" width="18.5703125" style="180" customWidth="1"/>
    <col min="12546" max="12554" width="31.42578125" style="180" customWidth="1"/>
    <col min="12555" max="12571" width="36.85546875" style="180" customWidth="1"/>
    <col min="12572" max="12572" width="37" style="180" customWidth="1"/>
    <col min="12573" max="12588" width="36.85546875" style="180" customWidth="1"/>
    <col min="12589" max="12589" width="37.140625" style="180" customWidth="1"/>
    <col min="12590" max="12591" width="36.85546875" style="180" customWidth="1"/>
    <col min="12592" max="12592" width="36.5703125" style="180" customWidth="1"/>
    <col min="12593" max="12594" width="36.85546875" style="180" customWidth="1"/>
    <col min="12595" max="12595" width="36.5703125" style="180" customWidth="1"/>
    <col min="12596" max="12596" width="37" style="180" customWidth="1"/>
    <col min="12597" max="12615" width="36.85546875" style="180" customWidth="1"/>
    <col min="12616" max="12616" width="37" style="180" customWidth="1"/>
    <col min="12617" max="12634" width="36.85546875" style="180" customWidth="1"/>
    <col min="12635" max="12635" width="36.5703125" style="180" customWidth="1"/>
    <col min="12636" max="12648" width="36.85546875" style="180" customWidth="1"/>
    <col min="12649" max="12649" width="36.5703125" style="180" customWidth="1"/>
    <col min="12650" max="12652" width="36.85546875" style="180" customWidth="1"/>
    <col min="12653" max="12653" width="36.5703125" style="180" customWidth="1"/>
    <col min="12654" max="12661" width="36.85546875" style="180" customWidth="1"/>
    <col min="12662" max="12662" width="36.5703125" style="180" customWidth="1"/>
    <col min="12663" max="12800" width="36.85546875" style="180"/>
    <col min="12801" max="12801" width="18.5703125" style="180" customWidth="1"/>
    <col min="12802" max="12810" width="31.42578125" style="180" customWidth="1"/>
    <col min="12811" max="12827" width="36.85546875" style="180" customWidth="1"/>
    <col min="12828" max="12828" width="37" style="180" customWidth="1"/>
    <col min="12829" max="12844" width="36.85546875" style="180" customWidth="1"/>
    <col min="12845" max="12845" width="37.140625" style="180" customWidth="1"/>
    <col min="12846" max="12847" width="36.85546875" style="180" customWidth="1"/>
    <col min="12848" max="12848" width="36.5703125" style="180" customWidth="1"/>
    <col min="12849" max="12850" width="36.85546875" style="180" customWidth="1"/>
    <col min="12851" max="12851" width="36.5703125" style="180" customWidth="1"/>
    <col min="12852" max="12852" width="37" style="180" customWidth="1"/>
    <col min="12853" max="12871" width="36.85546875" style="180" customWidth="1"/>
    <col min="12872" max="12872" width="37" style="180" customWidth="1"/>
    <col min="12873" max="12890" width="36.85546875" style="180" customWidth="1"/>
    <col min="12891" max="12891" width="36.5703125" style="180" customWidth="1"/>
    <col min="12892" max="12904" width="36.85546875" style="180" customWidth="1"/>
    <col min="12905" max="12905" width="36.5703125" style="180" customWidth="1"/>
    <col min="12906" max="12908" width="36.85546875" style="180" customWidth="1"/>
    <col min="12909" max="12909" width="36.5703125" style="180" customWidth="1"/>
    <col min="12910" max="12917" width="36.85546875" style="180" customWidth="1"/>
    <col min="12918" max="12918" width="36.5703125" style="180" customWidth="1"/>
    <col min="12919" max="13056" width="36.85546875" style="180"/>
    <col min="13057" max="13057" width="18.5703125" style="180" customWidth="1"/>
    <col min="13058" max="13066" width="31.42578125" style="180" customWidth="1"/>
    <col min="13067" max="13083" width="36.85546875" style="180" customWidth="1"/>
    <col min="13084" max="13084" width="37" style="180" customWidth="1"/>
    <col min="13085" max="13100" width="36.85546875" style="180" customWidth="1"/>
    <col min="13101" max="13101" width="37.140625" style="180" customWidth="1"/>
    <col min="13102" max="13103" width="36.85546875" style="180" customWidth="1"/>
    <col min="13104" max="13104" width="36.5703125" style="180" customWidth="1"/>
    <col min="13105" max="13106" width="36.85546875" style="180" customWidth="1"/>
    <col min="13107" max="13107" width="36.5703125" style="180" customWidth="1"/>
    <col min="13108" max="13108" width="37" style="180" customWidth="1"/>
    <col min="13109" max="13127" width="36.85546875" style="180" customWidth="1"/>
    <col min="13128" max="13128" width="37" style="180" customWidth="1"/>
    <col min="13129" max="13146" width="36.85546875" style="180" customWidth="1"/>
    <col min="13147" max="13147" width="36.5703125" style="180" customWidth="1"/>
    <col min="13148" max="13160" width="36.85546875" style="180" customWidth="1"/>
    <col min="13161" max="13161" width="36.5703125" style="180" customWidth="1"/>
    <col min="13162" max="13164" width="36.85546875" style="180" customWidth="1"/>
    <col min="13165" max="13165" width="36.5703125" style="180" customWidth="1"/>
    <col min="13166" max="13173" width="36.85546875" style="180" customWidth="1"/>
    <col min="13174" max="13174" width="36.5703125" style="180" customWidth="1"/>
    <col min="13175" max="13312" width="36.85546875" style="180"/>
    <col min="13313" max="13313" width="18.5703125" style="180" customWidth="1"/>
    <col min="13314" max="13322" width="31.42578125" style="180" customWidth="1"/>
    <col min="13323" max="13339" width="36.85546875" style="180" customWidth="1"/>
    <col min="13340" max="13340" width="37" style="180" customWidth="1"/>
    <col min="13341" max="13356" width="36.85546875" style="180" customWidth="1"/>
    <col min="13357" max="13357" width="37.140625" style="180" customWidth="1"/>
    <col min="13358" max="13359" width="36.85546875" style="180" customWidth="1"/>
    <col min="13360" max="13360" width="36.5703125" style="180" customWidth="1"/>
    <col min="13361" max="13362" width="36.85546875" style="180" customWidth="1"/>
    <col min="13363" max="13363" width="36.5703125" style="180" customWidth="1"/>
    <col min="13364" max="13364" width="37" style="180" customWidth="1"/>
    <col min="13365" max="13383" width="36.85546875" style="180" customWidth="1"/>
    <col min="13384" max="13384" width="37" style="180" customWidth="1"/>
    <col min="13385" max="13402" width="36.85546875" style="180" customWidth="1"/>
    <col min="13403" max="13403" width="36.5703125" style="180" customWidth="1"/>
    <col min="13404" max="13416" width="36.85546875" style="180" customWidth="1"/>
    <col min="13417" max="13417" width="36.5703125" style="180" customWidth="1"/>
    <col min="13418" max="13420" width="36.85546875" style="180" customWidth="1"/>
    <col min="13421" max="13421" width="36.5703125" style="180" customWidth="1"/>
    <col min="13422" max="13429" width="36.85546875" style="180" customWidth="1"/>
    <col min="13430" max="13430" width="36.5703125" style="180" customWidth="1"/>
    <col min="13431" max="13568" width="36.85546875" style="180"/>
    <col min="13569" max="13569" width="18.5703125" style="180" customWidth="1"/>
    <col min="13570" max="13578" width="31.42578125" style="180" customWidth="1"/>
    <col min="13579" max="13595" width="36.85546875" style="180" customWidth="1"/>
    <col min="13596" max="13596" width="37" style="180" customWidth="1"/>
    <col min="13597" max="13612" width="36.85546875" style="180" customWidth="1"/>
    <col min="13613" max="13613" width="37.140625" style="180" customWidth="1"/>
    <col min="13614" max="13615" width="36.85546875" style="180" customWidth="1"/>
    <col min="13616" max="13616" width="36.5703125" style="180" customWidth="1"/>
    <col min="13617" max="13618" width="36.85546875" style="180" customWidth="1"/>
    <col min="13619" max="13619" width="36.5703125" style="180" customWidth="1"/>
    <col min="13620" max="13620" width="37" style="180" customWidth="1"/>
    <col min="13621" max="13639" width="36.85546875" style="180" customWidth="1"/>
    <col min="13640" max="13640" width="37" style="180" customWidth="1"/>
    <col min="13641" max="13658" width="36.85546875" style="180" customWidth="1"/>
    <col min="13659" max="13659" width="36.5703125" style="180" customWidth="1"/>
    <col min="13660" max="13672" width="36.85546875" style="180" customWidth="1"/>
    <col min="13673" max="13673" width="36.5703125" style="180" customWidth="1"/>
    <col min="13674" max="13676" width="36.85546875" style="180" customWidth="1"/>
    <col min="13677" max="13677" width="36.5703125" style="180" customWidth="1"/>
    <col min="13678" max="13685" width="36.85546875" style="180" customWidth="1"/>
    <col min="13686" max="13686" width="36.5703125" style="180" customWidth="1"/>
    <col min="13687" max="13824" width="36.85546875" style="180"/>
    <col min="13825" max="13825" width="18.5703125" style="180" customWidth="1"/>
    <col min="13826" max="13834" width="31.42578125" style="180" customWidth="1"/>
    <col min="13835" max="13851" width="36.85546875" style="180" customWidth="1"/>
    <col min="13852" max="13852" width="37" style="180" customWidth="1"/>
    <col min="13853" max="13868" width="36.85546875" style="180" customWidth="1"/>
    <col min="13869" max="13869" width="37.140625" style="180" customWidth="1"/>
    <col min="13870" max="13871" width="36.85546875" style="180" customWidth="1"/>
    <col min="13872" max="13872" width="36.5703125" style="180" customWidth="1"/>
    <col min="13873" max="13874" width="36.85546875" style="180" customWidth="1"/>
    <col min="13875" max="13875" width="36.5703125" style="180" customWidth="1"/>
    <col min="13876" max="13876" width="37" style="180" customWidth="1"/>
    <col min="13877" max="13895" width="36.85546875" style="180" customWidth="1"/>
    <col min="13896" max="13896" width="37" style="180" customWidth="1"/>
    <col min="13897" max="13914" width="36.85546875" style="180" customWidth="1"/>
    <col min="13915" max="13915" width="36.5703125" style="180" customWidth="1"/>
    <col min="13916" max="13928" width="36.85546875" style="180" customWidth="1"/>
    <col min="13929" max="13929" width="36.5703125" style="180" customWidth="1"/>
    <col min="13930" max="13932" width="36.85546875" style="180" customWidth="1"/>
    <col min="13933" max="13933" width="36.5703125" style="180" customWidth="1"/>
    <col min="13934" max="13941" width="36.85546875" style="180" customWidth="1"/>
    <col min="13942" max="13942" width="36.5703125" style="180" customWidth="1"/>
    <col min="13943" max="14080" width="36.85546875" style="180"/>
    <col min="14081" max="14081" width="18.5703125" style="180" customWidth="1"/>
    <col min="14082" max="14090" width="31.42578125" style="180" customWidth="1"/>
    <col min="14091" max="14107" width="36.85546875" style="180" customWidth="1"/>
    <col min="14108" max="14108" width="37" style="180" customWidth="1"/>
    <col min="14109" max="14124" width="36.85546875" style="180" customWidth="1"/>
    <col min="14125" max="14125" width="37.140625" style="180" customWidth="1"/>
    <col min="14126" max="14127" width="36.85546875" style="180" customWidth="1"/>
    <col min="14128" max="14128" width="36.5703125" style="180" customWidth="1"/>
    <col min="14129" max="14130" width="36.85546875" style="180" customWidth="1"/>
    <col min="14131" max="14131" width="36.5703125" style="180" customWidth="1"/>
    <col min="14132" max="14132" width="37" style="180" customWidth="1"/>
    <col min="14133" max="14151" width="36.85546875" style="180" customWidth="1"/>
    <col min="14152" max="14152" width="37" style="180" customWidth="1"/>
    <col min="14153" max="14170" width="36.85546875" style="180" customWidth="1"/>
    <col min="14171" max="14171" width="36.5703125" style="180" customWidth="1"/>
    <col min="14172" max="14184" width="36.85546875" style="180" customWidth="1"/>
    <col min="14185" max="14185" width="36.5703125" style="180" customWidth="1"/>
    <col min="14186" max="14188" width="36.85546875" style="180" customWidth="1"/>
    <col min="14189" max="14189" width="36.5703125" style="180" customWidth="1"/>
    <col min="14190" max="14197" width="36.85546875" style="180" customWidth="1"/>
    <col min="14198" max="14198" width="36.5703125" style="180" customWidth="1"/>
    <col min="14199" max="14336" width="36.85546875" style="180"/>
    <col min="14337" max="14337" width="18.5703125" style="180" customWidth="1"/>
    <col min="14338" max="14346" width="31.42578125" style="180" customWidth="1"/>
    <col min="14347" max="14363" width="36.85546875" style="180" customWidth="1"/>
    <col min="14364" max="14364" width="37" style="180" customWidth="1"/>
    <col min="14365" max="14380" width="36.85546875" style="180" customWidth="1"/>
    <col min="14381" max="14381" width="37.140625" style="180" customWidth="1"/>
    <col min="14382" max="14383" width="36.85546875" style="180" customWidth="1"/>
    <col min="14384" max="14384" width="36.5703125" style="180" customWidth="1"/>
    <col min="14385" max="14386" width="36.85546875" style="180" customWidth="1"/>
    <col min="14387" max="14387" width="36.5703125" style="180" customWidth="1"/>
    <col min="14388" max="14388" width="37" style="180" customWidth="1"/>
    <col min="14389" max="14407" width="36.85546875" style="180" customWidth="1"/>
    <col min="14408" max="14408" width="37" style="180" customWidth="1"/>
    <col min="14409" max="14426" width="36.85546875" style="180" customWidth="1"/>
    <col min="14427" max="14427" width="36.5703125" style="180" customWidth="1"/>
    <col min="14428" max="14440" width="36.85546875" style="180" customWidth="1"/>
    <col min="14441" max="14441" width="36.5703125" style="180" customWidth="1"/>
    <col min="14442" max="14444" width="36.85546875" style="180" customWidth="1"/>
    <col min="14445" max="14445" width="36.5703125" style="180" customWidth="1"/>
    <col min="14446" max="14453" width="36.85546875" style="180" customWidth="1"/>
    <col min="14454" max="14454" width="36.5703125" style="180" customWidth="1"/>
    <col min="14455" max="14592" width="36.85546875" style="180"/>
    <col min="14593" max="14593" width="18.5703125" style="180" customWidth="1"/>
    <col min="14594" max="14602" width="31.42578125" style="180" customWidth="1"/>
    <col min="14603" max="14619" width="36.85546875" style="180" customWidth="1"/>
    <col min="14620" max="14620" width="37" style="180" customWidth="1"/>
    <col min="14621" max="14636" width="36.85546875" style="180" customWidth="1"/>
    <col min="14637" max="14637" width="37.140625" style="180" customWidth="1"/>
    <col min="14638" max="14639" width="36.85546875" style="180" customWidth="1"/>
    <col min="14640" max="14640" width="36.5703125" style="180" customWidth="1"/>
    <col min="14641" max="14642" width="36.85546875" style="180" customWidth="1"/>
    <col min="14643" max="14643" width="36.5703125" style="180" customWidth="1"/>
    <col min="14644" max="14644" width="37" style="180" customWidth="1"/>
    <col min="14645" max="14663" width="36.85546875" style="180" customWidth="1"/>
    <col min="14664" max="14664" width="37" style="180" customWidth="1"/>
    <col min="14665" max="14682" width="36.85546875" style="180" customWidth="1"/>
    <col min="14683" max="14683" width="36.5703125" style="180" customWidth="1"/>
    <col min="14684" max="14696" width="36.85546875" style="180" customWidth="1"/>
    <col min="14697" max="14697" width="36.5703125" style="180" customWidth="1"/>
    <col min="14698" max="14700" width="36.85546875" style="180" customWidth="1"/>
    <col min="14701" max="14701" width="36.5703125" style="180" customWidth="1"/>
    <col min="14702" max="14709" width="36.85546875" style="180" customWidth="1"/>
    <col min="14710" max="14710" width="36.5703125" style="180" customWidth="1"/>
    <col min="14711" max="14848" width="36.85546875" style="180"/>
    <col min="14849" max="14849" width="18.5703125" style="180" customWidth="1"/>
    <col min="14850" max="14858" width="31.42578125" style="180" customWidth="1"/>
    <col min="14859" max="14875" width="36.85546875" style="180" customWidth="1"/>
    <col min="14876" max="14876" width="37" style="180" customWidth="1"/>
    <col min="14877" max="14892" width="36.85546875" style="180" customWidth="1"/>
    <col min="14893" max="14893" width="37.140625" style="180" customWidth="1"/>
    <col min="14894" max="14895" width="36.85546875" style="180" customWidth="1"/>
    <col min="14896" max="14896" width="36.5703125" style="180" customWidth="1"/>
    <col min="14897" max="14898" width="36.85546875" style="180" customWidth="1"/>
    <col min="14899" max="14899" width="36.5703125" style="180" customWidth="1"/>
    <col min="14900" max="14900" width="37" style="180" customWidth="1"/>
    <col min="14901" max="14919" width="36.85546875" style="180" customWidth="1"/>
    <col min="14920" max="14920" width="37" style="180" customWidth="1"/>
    <col min="14921" max="14938" width="36.85546875" style="180" customWidth="1"/>
    <col min="14939" max="14939" width="36.5703125" style="180" customWidth="1"/>
    <col min="14940" max="14952" width="36.85546875" style="180" customWidth="1"/>
    <col min="14953" max="14953" width="36.5703125" style="180" customWidth="1"/>
    <col min="14954" max="14956" width="36.85546875" style="180" customWidth="1"/>
    <col min="14957" max="14957" width="36.5703125" style="180" customWidth="1"/>
    <col min="14958" max="14965" width="36.85546875" style="180" customWidth="1"/>
    <col min="14966" max="14966" width="36.5703125" style="180" customWidth="1"/>
    <col min="14967" max="15104" width="36.85546875" style="180"/>
    <col min="15105" max="15105" width="18.5703125" style="180" customWidth="1"/>
    <col min="15106" max="15114" width="31.42578125" style="180" customWidth="1"/>
    <col min="15115" max="15131" width="36.85546875" style="180" customWidth="1"/>
    <col min="15132" max="15132" width="37" style="180" customWidth="1"/>
    <col min="15133" max="15148" width="36.85546875" style="180" customWidth="1"/>
    <col min="15149" max="15149" width="37.140625" style="180" customWidth="1"/>
    <col min="15150" max="15151" width="36.85546875" style="180" customWidth="1"/>
    <col min="15152" max="15152" width="36.5703125" style="180" customWidth="1"/>
    <col min="15153" max="15154" width="36.85546875" style="180" customWidth="1"/>
    <col min="15155" max="15155" width="36.5703125" style="180" customWidth="1"/>
    <col min="15156" max="15156" width="37" style="180" customWidth="1"/>
    <col min="15157" max="15175" width="36.85546875" style="180" customWidth="1"/>
    <col min="15176" max="15176" width="37" style="180" customWidth="1"/>
    <col min="15177" max="15194" width="36.85546875" style="180" customWidth="1"/>
    <col min="15195" max="15195" width="36.5703125" style="180" customWidth="1"/>
    <col min="15196" max="15208" width="36.85546875" style="180" customWidth="1"/>
    <col min="15209" max="15209" width="36.5703125" style="180" customWidth="1"/>
    <col min="15210" max="15212" width="36.85546875" style="180" customWidth="1"/>
    <col min="15213" max="15213" width="36.5703125" style="180" customWidth="1"/>
    <col min="15214" max="15221" width="36.85546875" style="180" customWidth="1"/>
    <col min="15222" max="15222" width="36.5703125" style="180" customWidth="1"/>
    <col min="15223" max="15360" width="36.85546875" style="180"/>
    <col min="15361" max="15361" width="18.5703125" style="180" customWidth="1"/>
    <col min="15362" max="15370" width="31.42578125" style="180" customWidth="1"/>
    <col min="15371" max="15387" width="36.85546875" style="180" customWidth="1"/>
    <col min="15388" max="15388" width="37" style="180" customWidth="1"/>
    <col min="15389" max="15404" width="36.85546875" style="180" customWidth="1"/>
    <col min="15405" max="15405" width="37.140625" style="180" customWidth="1"/>
    <col min="15406" max="15407" width="36.85546875" style="180" customWidth="1"/>
    <col min="15408" max="15408" width="36.5703125" style="180" customWidth="1"/>
    <col min="15409" max="15410" width="36.85546875" style="180" customWidth="1"/>
    <col min="15411" max="15411" width="36.5703125" style="180" customWidth="1"/>
    <col min="15412" max="15412" width="37" style="180" customWidth="1"/>
    <col min="15413" max="15431" width="36.85546875" style="180" customWidth="1"/>
    <col min="15432" max="15432" width="37" style="180" customWidth="1"/>
    <col min="15433" max="15450" width="36.85546875" style="180" customWidth="1"/>
    <col min="15451" max="15451" width="36.5703125" style="180" customWidth="1"/>
    <col min="15452" max="15464" width="36.85546875" style="180" customWidth="1"/>
    <col min="15465" max="15465" width="36.5703125" style="180" customWidth="1"/>
    <col min="15466" max="15468" width="36.85546875" style="180" customWidth="1"/>
    <col min="15469" max="15469" width="36.5703125" style="180" customWidth="1"/>
    <col min="15470" max="15477" width="36.85546875" style="180" customWidth="1"/>
    <col min="15478" max="15478" width="36.5703125" style="180" customWidth="1"/>
    <col min="15479" max="15616" width="36.85546875" style="180"/>
    <col min="15617" max="15617" width="18.5703125" style="180" customWidth="1"/>
    <col min="15618" max="15626" width="31.42578125" style="180" customWidth="1"/>
    <col min="15627" max="15643" width="36.85546875" style="180" customWidth="1"/>
    <col min="15644" max="15644" width="37" style="180" customWidth="1"/>
    <col min="15645" max="15660" width="36.85546875" style="180" customWidth="1"/>
    <col min="15661" max="15661" width="37.140625" style="180" customWidth="1"/>
    <col min="15662" max="15663" width="36.85546875" style="180" customWidth="1"/>
    <col min="15664" max="15664" width="36.5703125" style="180" customWidth="1"/>
    <col min="15665" max="15666" width="36.85546875" style="180" customWidth="1"/>
    <col min="15667" max="15667" width="36.5703125" style="180" customWidth="1"/>
    <col min="15668" max="15668" width="37" style="180" customWidth="1"/>
    <col min="15669" max="15687" width="36.85546875" style="180" customWidth="1"/>
    <col min="15688" max="15688" width="37" style="180" customWidth="1"/>
    <col min="15689" max="15706" width="36.85546875" style="180" customWidth="1"/>
    <col min="15707" max="15707" width="36.5703125" style="180" customWidth="1"/>
    <col min="15708" max="15720" width="36.85546875" style="180" customWidth="1"/>
    <col min="15721" max="15721" width="36.5703125" style="180" customWidth="1"/>
    <col min="15722" max="15724" width="36.85546875" style="180" customWidth="1"/>
    <col min="15725" max="15725" width="36.5703125" style="180" customWidth="1"/>
    <col min="15726" max="15733" width="36.85546875" style="180" customWidth="1"/>
    <col min="15734" max="15734" width="36.5703125" style="180" customWidth="1"/>
    <col min="15735" max="15872" width="36.85546875" style="180"/>
    <col min="15873" max="15873" width="18.5703125" style="180" customWidth="1"/>
    <col min="15874" max="15882" width="31.42578125" style="180" customWidth="1"/>
    <col min="15883" max="15899" width="36.85546875" style="180" customWidth="1"/>
    <col min="15900" max="15900" width="37" style="180" customWidth="1"/>
    <col min="15901" max="15916" width="36.85546875" style="180" customWidth="1"/>
    <col min="15917" max="15917" width="37.140625" style="180" customWidth="1"/>
    <col min="15918" max="15919" width="36.85546875" style="180" customWidth="1"/>
    <col min="15920" max="15920" width="36.5703125" style="180" customWidth="1"/>
    <col min="15921" max="15922" width="36.85546875" style="180" customWidth="1"/>
    <col min="15923" max="15923" width="36.5703125" style="180" customWidth="1"/>
    <col min="15924" max="15924" width="37" style="180" customWidth="1"/>
    <col min="15925" max="15943" width="36.85546875" style="180" customWidth="1"/>
    <col min="15944" max="15944" width="37" style="180" customWidth="1"/>
    <col min="15945" max="15962" width="36.85546875" style="180" customWidth="1"/>
    <col min="15963" max="15963" width="36.5703125" style="180" customWidth="1"/>
    <col min="15964" max="15976" width="36.85546875" style="180" customWidth="1"/>
    <col min="15977" max="15977" width="36.5703125" style="180" customWidth="1"/>
    <col min="15978" max="15980" width="36.85546875" style="180" customWidth="1"/>
    <col min="15981" max="15981" width="36.5703125" style="180" customWidth="1"/>
    <col min="15982" max="15989" width="36.85546875" style="180" customWidth="1"/>
    <col min="15990" max="15990" width="36.5703125" style="180" customWidth="1"/>
    <col min="15991" max="16128" width="36.85546875" style="180"/>
    <col min="16129" max="16129" width="18.5703125" style="180" customWidth="1"/>
    <col min="16130" max="16138" width="31.42578125" style="180" customWidth="1"/>
    <col min="16139" max="16155" width="36.85546875" style="180" customWidth="1"/>
    <col min="16156" max="16156" width="37" style="180" customWidth="1"/>
    <col min="16157" max="16172" width="36.85546875" style="180" customWidth="1"/>
    <col min="16173" max="16173" width="37.140625" style="180" customWidth="1"/>
    <col min="16174" max="16175" width="36.85546875" style="180" customWidth="1"/>
    <col min="16176" max="16176" width="36.5703125" style="180" customWidth="1"/>
    <col min="16177" max="16178" width="36.85546875" style="180" customWidth="1"/>
    <col min="16179" max="16179" width="36.5703125" style="180" customWidth="1"/>
    <col min="16180" max="16180" width="37" style="180" customWidth="1"/>
    <col min="16181" max="16199" width="36.85546875" style="180" customWidth="1"/>
    <col min="16200" max="16200" width="37" style="180" customWidth="1"/>
    <col min="16201" max="16218" width="36.85546875" style="180" customWidth="1"/>
    <col min="16219" max="16219" width="36.5703125" style="180" customWidth="1"/>
    <col min="16220" max="16232" width="36.85546875" style="180" customWidth="1"/>
    <col min="16233" max="16233" width="36.5703125" style="180" customWidth="1"/>
    <col min="16234" max="16236" width="36.85546875" style="180" customWidth="1"/>
    <col min="16237" max="16237" width="36.5703125" style="180" customWidth="1"/>
    <col min="16238" max="16245" width="36.85546875" style="180" customWidth="1"/>
    <col min="16246" max="16246" width="36.5703125" style="180" customWidth="1"/>
    <col min="16247" max="16384" width="36.85546875" style="180"/>
  </cols>
  <sheetData>
    <row r="1" spans="1:245" s="125" customFormat="1" ht="12.75" customHeight="1" x14ac:dyDescent="0.25">
      <c r="A1" s="121" t="s">
        <v>124</v>
      </c>
      <c r="B1" s="122"/>
      <c r="C1" s="123"/>
      <c r="D1" s="123"/>
      <c r="E1" s="123"/>
      <c r="F1" s="123"/>
      <c r="G1" s="123"/>
      <c r="H1" s="123"/>
      <c r="I1" s="123"/>
      <c r="J1" s="123"/>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245" s="129" customFormat="1" ht="12.75" customHeight="1" x14ac:dyDescent="0.25">
      <c r="A2" s="126" t="s">
        <v>125</v>
      </c>
      <c r="B2" s="127">
        <v>1</v>
      </c>
      <c r="C2" s="127">
        <v>2</v>
      </c>
      <c r="D2" s="127">
        <v>3</v>
      </c>
      <c r="E2" s="127">
        <v>4</v>
      </c>
      <c r="F2" s="127">
        <v>5</v>
      </c>
      <c r="G2" s="127">
        <v>6</v>
      </c>
      <c r="H2" s="127">
        <v>7</v>
      </c>
      <c r="I2" s="127">
        <v>8</v>
      </c>
      <c r="J2" s="127">
        <v>9</v>
      </c>
      <c r="K2" s="127">
        <v>10</v>
      </c>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8"/>
      <c r="AK2" s="128" t="str">
        <f t="shared" ref="AK2:CV2" si="0">IF(AK3="","",AJ2+1)</f>
        <v/>
      </c>
      <c r="AL2" s="128" t="str">
        <f t="shared" si="0"/>
        <v/>
      </c>
      <c r="AM2" s="128" t="str">
        <f t="shared" si="0"/>
        <v/>
      </c>
      <c r="AN2" s="128" t="str">
        <f t="shared" si="0"/>
        <v/>
      </c>
      <c r="AO2" s="128" t="str">
        <f t="shared" si="0"/>
        <v/>
      </c>
      <c r="AP2" s="128" t="str">
        <f t="shared" si="0"/>
        <v/>
      </c>
      <c r="AQ2" s="128" t="str">
        <f t="shared" si="0"/>
        <v/>
      </c>
      <c r="AR2" s="128" t="str">
        <f t="shared" si="0"/>
        <v/>
      </c>
      <c r="AS2" s="128" t="str">
        <f t="shared" si="0"/>
        <v/>
      </c>
      <c r="AT2" s="128" t="str">
        <f t="shared" si="0"/>
        <v/>
      </c>
      <c r="AU2" s="128" t="str">
        <f t="shared" si="0"/>
        <v/>
      </c>
      <c r="AV2" s="128" t="str">
        <f t="shared" si="0"/>
        <v/>
      </c>
      <c r="AW2" s="128" t="str">
        <f t="shared" si="0"/>
        <v/>
      </c>
      <c r="AX2" s="128" t="str">
        <f t="shared" si="0"/>
        <v/>
      </c>
      <c r="AY2" s="128" t="str">
        <f t="shared" si="0"/>
        <v/>
      </c>
      <c r="AZ2" s="128" t="str">
        <f t="shared" si="0"/>
        <v/>
      </c>
      <c r="BA2" s="128" t="str">
        <f t="shared" si="0"/>
        <v/>
      </c>
      <c r="BB2" s="128" t="str">
        <f t="shared" si="0"/>
        <v/>
      </c>
      <c r="BC2" s="128" t="str">
        <f t="shared" si="0"/>
        <v/>
      </c>
      <c r="BD2" s="128" t="str">
        <f t="shared" si="0"/>
        <v/>
      </c>
      <c r="BE2" s="128" t="str">
        <f t="shared" si="0"/>
        <v/>
      </c>
      <c r="BF2" s="128" t="str">
        <f t="shared" si="0"/>
        <v/>
      </c>
      <c r="BG2" s="128" t="str">
        <f t="shared" si="0"/>
        <v/>
      </c>
      <c r="BH2" s="128" t="str">
        <f t="shared" si="0"/>
        <v/>
      </c>
      <c r="BI2" s="128" t="str">
        <f t="shared" si="0"/>
        <v/>
      </c>
      <c r="BJ2" s="128" t="str">
        <f t="shared" si="0"/>
        <v/>
      </c>
      <c r="BK2" s="128" t="str">
        <f t="shared" si="0"/>
        <v/>
      </c>
      <c r="BL2" s="128" t="str">
        <f t="shared" si="0"/>
        <v/>
      </c>
      <c r="BM2" s="128" t="str">
        <f t="shared" si="0"/>
        <v/>
      </c>
      <c r="BN2" s="128" t="str">
        <f t="shared" si="0"/>
        <v/>
      </c>
      <c r="BO2" s="128" t="str">
        <f t="shared" si="0"/>
        <v/>
      </c>
      <c r="BP2" s="128" t="str">
        <f t="shared" si="0"/>
        <v/>
      </c>
      <c r="BQ2" s="128" t="str">
        <f t="shared" si="0"/>
        <v/>
      </c>
      <c r="BR2" s="128" t="str">
        <f t="shared" si="0"/>
        <v/>
      </c>
      <c r="BS2" s="128" t="str">
        <f t="shared" si="0"/>
        <v/>
      </c>
      <c r="BT2" s="128" t="str">
        <f t="shared" si="0"/>
        <v/>
      </c>
      <c r="BU2" s="128" t="str">
        <f t="shared" si="0"/>
        <v/>
      </c>
      <c r="BV2" s="128" t="str">
        <f t="shared" si="0"/>
        <v/>
      </c>
      <c r="BW2" s="128" t="str">
        <f t="shared" si="0"/>
        <v/>
      </c>
      <c r="BX2" s="128" t="str">
        <f t="shared" si="0"/>
        <v/>
      </c>
      <c r="BY2" s="128" t="str">
        <f t="shared" si="0"/>
        <v/>
      </c>
      <c r="BZ2" s="128" t="str">
        <f t="shared" si="0"/>
        <v/>
      </c>
      <c r="CA2" s="128" t="str">
        <f t="shared" si="0"/>
        <v/>
      </c>
      <c r="CB2" s="128" t="str">
        <f t="shared" si="0"/>
        <v/>
      </c>
      <c r="CC2" s="128" t="str">
        <f t="shared" si="0"/>
        <v/>
      </c>
      <c r="CD2" s="128" t="str">
        <f t="shared" si="0"/>
        <v/>
      </c>
      <c r="CE2" s="128" t="str">
        <f t="shared" si="0"/>
        <v/>
      </c>
      <c r="CF2" s="128" t="str">
        <f t="shared" si="0"/>
        <v/>
      </c>
      <c r="CG2" s="128" t="str">
        <f t="shared" si="0"/>
        <v/>
      </c>
      <c r="CH2" s="128" t="str">
        <f t="shared" si="0"/>
        <v/>
      </c>
      <c r="CI2" s="128" t="str">
        <f t="shared" si="0"/>
        <v/>
      </c>
      <c r="CJ2" s="128" t="str">
        <f t="shared" si="0"/>
        <v/>
      </c>
      <c r="CK2" s="128" t="str">
        <f t="shared" si="0"/>
        <v/>
      </c>
      <c r="CL2" s="128" t="str">
        <f t="shared" si="0"/>
        <v/>
      </c>
      <c r="CM2" s="128" t="str">
        <f t="shared" si="0"/>
        <v/>
      </c>
      <c r="CN2" s="128" t="str">
        <f t="shared" si="0"/>
        <v/>
      </c>
      <c r="CO2" s="128" t="str">
        <f t="shared" si="0"/>
        <v/>
      </c>
      <c r="CP2" s="128" t="str">
        <f t="shared" si="0"/>
        <v/>
      </c>
      <c r="CQ2" s="128" t="str">
        <f t="shared" si="0"/>
        <v/>
      </c>
      <c r="CR2" s="128" t="str">
        <f t="shared" si="0"/>
        <v/>
      </c>
      <c r="CS2" s="128" t="str">
        <f t="shared" si="0"/>
        <v/>
      </c>
      <c r="CT2" s="128" t="str">
        <f t="shared" si="0"/>
        <v/>
      </c>
      <c r="CU2" s="128" t="str">
        <f t="shared" si="0"/>
        <v/>
      </c>
      <c r="CV2" s="128" t="str">
        <f t="shared" si="0"/>
        <v/>
      </c>
      <c r="CW2" s="128" t="str">
        <f t="shared" ref="CW2:FH2" si="1">IF(CW3="","",CV2+1)</f>
        <v/>
      </c>
      <c r="CX2" s="128" t="str">
        <f t="shared" si="1"/>
        <v/>
      </c>
      <c r="CY2" s="128" t="str">
        <f t="shared" si="1"/>
        <v/>
      </c>
      <c r="CZ2" s="128" t="str">
        <f t="shared" si="1"/>
        <v/>
      </c>
      <c r="DA2" s="128" t="str">
        <f t="shared" si="1"/>
        <v/>
      </c>
      <c r="DB2" s="128" t="str">
        <f t="shared" si="1"/>
        <v/>
      </c>
      <c r="DC2" s="128" t="str">
        <f t="shared" si="1"/>
        <v/>
      </c>
      <c r="DD2" s="128" t="str">
        <f t="shared" si="1"/>
        <v/>
      </c>
      <c r="DE2" s="128" t="str">
        <f t="shared" si="1"/>
        <v/>
      </c>
      <c r="DF2" s="128" t="str">
        <f t="shared" si="1"/>
        <v/>
      </c>
      <c r="DG2" s="128" t="str">
        <f t="shared" si="1"/>
        <v/>
      </c>
      <c r="DH2" s="128" t="str">
        <f t="shared" si="1"/>
        <v/>
      </c>
      <c r="DI2" s="128" t="str">
        <f t="shared" si="1"/>
        <v/>
      </c>
      <c r="DJ2" s="128" t="str">
        <f t="shared" si="1"/>
        <v/>
      </c>
      <c r="DK2" s="128" t="str">
        <f t="shared" si="1"/>
        <v/>
      </c>
      <c r="DL2" s="128" t="str">
        <f t="shared" si="1"/>
        <v/>
      </c>
      <c r="DM2" s="128" t="str">
        <f t="shared" si="1"/>
        <v/>
      </c>
      <c r="DN2" s="128" t="str">
        <f t="shared" si="1"/>
        <v/>
      </c>
      <c r="DO2" s="128" t="str">
        <f t="shared" si="1"/>
        <v/>
      </c>
      <c r="DP2" s="128" t="str">
        <f t="shared" si="1"/>
        <v/>
      </c>
      <c r="DQ2" s="128" t="str">
        <f t="shared" si="1"/>
        <v/>
      </c>
      <c r="DR2" s="128" t="str">
        <f t="shared" si="1"/>
        <v/>
      </c>
      <c r="DS2" s="128" t="str">
        <f t="shared" si="1"/>
        <v/>
      </c>
      <c r="DT2" s="128" t="str">
        <f t="shared" si="1"/>
        <v/>
      </c>
      <c r="DU2" s="128" t="str">
        <f t="shared" si="1"/>
        <v/>
      </c>
      <c r="DV2" s="128" t="str">
        <f t="shared" si="1"/>
        <v/>
      </c>
      <c r="DW2" s="128" t="str">
        <f t="shared" si="1"/>
        <v/>
      </c>
      <c r="DX2" s="128" t="str">
        <f t="shared" si="1"/>
        <v/>
      </c>
      <c r="DY2" s="128" t="str">
        <f t="shared" si="1"/>
        <v/>
      </c>
      <c r="DZ2" s="128" t="str">
        <f t="shared" si="1"/>
        <v/>
      </c>
      <c r="EA2" s="128" t="str">
        <f t="shared" si="1"/>
        <v/>
      </c>
      <c r="EB2" s="128" t="str">
        <f t="shared" si="1"/>
        <v/>
      </c>
      <c r="EC2" s="128" t="str">
        <f t="shared" si="1"/>
        <v/>
      </c>
      <c r="ED2" s="128" t="str">
        <f t="shared" si="1"/>
        <v/>
      </c>
      <c r="EE2" s="128" t="str">
        <f t="shared" si="1"/>
        <v/>
      </c>
      <c r="EF2" s="128" t="str">
        <f t="shared" si="1"/>
        <v/>
      </c>
      <c r="EG2" s="128" t="str">
        <f t="shared" si="1"/>
        <v/>
      </c>
      <c r="EH2" s="128" t="str">
        <f t="shared" si="1"/>
        <v/>
      </c>
      <c r="EI2" s="128" t="str">
        <f t="shared" si="1"/>
        <v/>
      </c>
      <c r="EJ2" s="128" t="str">
        <f t="shared" si="1"/>
        <v/>
      </c>
      <c r="EK2" s="128" t="str">
        <f t="shared" si="1"/>
        <v/>
      </c>
      <c r="EL2" s="128" t="str">
        <f t="shared" si="1"/>
        <v/>
      </c>
      <c r="EM2" s="128" t="str">
        <f t="shared" si="1"/>
        <v/>
      </c>
      <c r="EN2" s="128" t="str">
        <f t="shared" si="1"/>
        <v/>
      </c>
      <c r="EO2" s="128" t="str">
        <f t="shared" si="1"/>
        <v/>
      </c>
      <c r="EP2" s="128" t="str">
        <f t="shared" si="1"/>
        <v/>
      </c>
      <c r="EQ2" s="128" t="str">
        <f t="shared" si="1"/>
        <v/>
      </c>
      <c r="ER2" s="128" t="str">
        <f t="shared" si="1"/>
        <v/>
      </c>
      <c r="ES2" s="128" t="str">
        <f t="shared" si="1"/>
        <v/>
      </c>
      <c r="ET2" s="128" t="str">
        <f t="shared" si="1"/>
        <v/>
      </c>
      <c r="EU2" s="128" t="str">
        <f t="shared" si="1"/>
        <v/>
      </c>
      <c r="EV2" s="128" t="str">
        <f t="shared" si="1"/>
        <v/>
      </c>
      <c r="EW2" s="128" t="str">
        <f t="shared" si="1"/>
        <v/>
      </c>
      <c r="EX2" s="128" t="str">
        <f t="shared" si="1"/>
        <v/>
      </c>
      <c r="EY2" s="128" t="str">
        <f t="shared" si="1"/>
        <v/>
      </c>
      <c r="EZ2" s="128" t="str">
        <f t="shared" si="1"/>
        <v/>
      </c>
      <c r="FA2" s="128" t="str">
        <f t="shared" si="1"/>
        <v/>
      </c>
      <c r="FB2" s="128" t="str">
        <f t="shared" si="1"/>
        <v/>
      </c>
      <c r="FC2" s="128" t="str">
        <f t="shared" si="1"/>
        <v/>
      </c>
      <c r="FD2" s="128" t="str">
        <f t="shared" si="1"/>
        <v/>
      </c>
      <c r="FE2" s="128" t="str">
        <f t="shared" si="1"/>
        <v/>
      </c>
      <c r="FF2" s="128" t="str">
        <f t="shared" si="1"/>
        <v/>
      </c>
      <c r="FG2" s="128" t="str">
        <f t="shared" si="1"/>
        <v/>
      </c>
      <c r="FH2" s="128" t="str">
        <f t="shared" si="1"/>
        <v/>
      </c>
      <c r="FI2" s="128" t="str">
        <f t="shared" ref="FI2:HT2" si="2">IF(FI3="","",FH2+1)</f>
        <v/>
      </c>
      <c r="FJ2" s="128" t="str">
        <f t="shared" si="2"/>
        <v/>
      </c>
      <c r="FK2" s="128" t="str">
        <f t="shared" si="2"/>
        <v/>
      </c>
      <c r="FL2" s="128" t="str">
        <f t="shared" si="2"/>
        <v/>
      </c>
      <c r="FM2" s="128" t="str">
        <f t="shared" si="2"/>
        <v/>
      </c>
      <c r="FN2" s="128" t="str">
        <f t="shared" si="2"/>
        <v/>
      </c>
      <c r="FO2" s="128" t="str">
        <f t="shared" si="2"/>
        <v/>
      </c>
      <c r="FP2" s="128" t="str">
        <f t="shared" si="2"/>
        <v/>
      </c>
      <c r="FQ2" s="128" t="str">
        <f t="shared" si="2"/>
        <v/>
      </c>
      <c r="FR2" s="128" t="str">
        <f t="shared" si="2"/>
        <v/>
      </c>
      <c r="FS2" s="128" t="str">
        <f t="shared" si="2"/>
        <v/>
      </c>
      <c r="FT2" s="128" t="str">
        <f t="shared" si="2"/>
        <v/>
      </c>
      <c r="FU2" s="128" t="str">
        <f t="shared" si="2"/>
        <v/>
      </c>
      <c r="FV2" s="128" t="str">
        <f t="shared" si="2"/>
        <v/>
      </c>
      <c r="FW2" s="128" t="str">
        <f t="shared" si="2"/>
        <v/>
      </c>
      <c r="FX2" s="128" t="str">
        <f t="shared" si="2"/>
        <v/>
      </c>
      <c r="FY2" s="128" t="str">
        <f t="shared" si="2"/>
        <v/>
      </c>
      <c r="FZ2" s="128" t="str">
        <f t="shared" si="2"/>
        <v/>
      </c>
      <c r="GA2" s="128" t="str">
        <f t="shared" si="2"/>
        <v/>
      </c>
      <c r="GB2" s="128" t="str">
        <f t="shared" si="2"/>
        <v/>
      </c>
      <c r="GC2" s="128" t="str">
        <f t="shared" si="2"/>
        <v/>
      </c>
      <c r="GD2" s="128" t="str">
        <f t="shared" si="2"/>
        <v/>
      </c>
      <c r="GE2" s="128" t="str">
        <f t="shared" si="2"/>
        <v/>
      </c>
      <c r="GF2" s="128" t="str">
        <f t="shared" si="2"/>
        <v/>
      </c>
      <c r="GG2" s="128" t="str">
        <f t="shared" si="2"/>
        <v/>
      </c>
      <c r="GH2" s="128" t="str">
        <f t="shared" si="2"/>
        <v/>
      </c>
      <c r="GI2" s="128" t="str">
        <f t="shared" si="2"/>
        <v/>
      </c>
      <c r="GJ2" s="128" t="str">
        <f t="shared" si="2"/>
        <v/>
      </c>
      <c r="GK2" s="128" t="str">
        <f t="shared" si="2"/>
        <v/>
      </c>
      <c r="GL2" s="128" t="str">
        <f t="shared" si="2"/>
        <v/>
      </c>
      <c r="GM2" s="128" t="str">
        <f t="shared" si="2"/>
        <v/>
      </c>
      <c r="GN2" s="128" t="str">
        <f t="shared" si="2"/>
        <v/>
      </c>
      <c r="GO2" s="128" t="str">
        <f t="shared" si="2"/>
        <v/>
      </c>
      <c r="GP2" s="128" t="str">
        <f t="shared" si="2"/>
        <v/>
      </c>
      <c r="GQ2" s="128" t="str">
        <f t="shared" si="2"/>
        <v/>
      </c>
      <c r="GR2" s="128" t="str">
        <f t="shared" si="2"/>
        <v/>
      </c>
      <c r="GS2" s="128" t="str">
        <f t="shared" si="2"/>
        <v/>
      </c>
      <c r="GT2" s="128" t="str">
        <f t="shared" si="2"/>
        <v/>
      </c>
      <c r="GU2" s="128" t="str">
        <f t="shared" si="2"/>
        <v/>
      </c>
      <c r="GV2" s="128" t="str">
        <f t="shared" si="2"/>
        <v/>
      </c>
      <c r="GW2" s="128" t="str">
        <f t="shared" si="2"/>
        <v/>
      </c>
      <c r="GX2" s="128" t="str">
        <f t="shared" si="2"/>
        <v/>
      </c>
      <c r="GY2" s="128" t="str">
        <f t="shared" si="2"/>
        <v/>
      </c>
      <c r="GZ2" s="128" t="str">
        <f t="shared" si="2"/>
        <v/>
      </c>
      <c r="HA2" s="128" t="str">
        <f t="shared" si="2"/>
        <v/>
      </c>
      <c r="HB2" s="128" t="str">
        <f t="shared" si="2"/>
        <v/>
      </c>
      <c r="HC2" s="128" t="str">
        <f t="shared" si="2"/>
        <v/>
      </c>
      <c r="HD2" s="128" t="str">
        <f t="shared" si="2"/>
        <v/>
      </c>
      <c r="HE2" s="128" t="str">
        <f t="shared" si="2"/>
        <v/>
      </c>
      <c r="HF2" s="128" t="str">
        <f t="shared" si="2"/>
        <v/>
      </c>
      <c r="HG2" s="128" t="str">
        <f t="shared" si="2"/>
        <v/>
      </c>
      <c r="HH2" s="128" t="str">
        <f t="shared" si="2"/>
        <v/>
      </c>
      <c r="HI2" s="128" t="str">
        <f t="shared" si="2"/>
        <v/>
      </c>
      <c r="HJ2" s="128" t="str">
        <f t="shared" si="2"/>
        <v/>
      </c>
      <c r="HK2" s="128" t="str">
        <f t="shared" si="2"/>
        <v/>
      </c>
      <c r="HL2" s="128" t="str">
        <f t="shared" si="2"/>
        <v/>
      </c>
      <c r="HM2" s="128" t="str">
        <f t="shared" si="2"/>
        <v/>
      </c>
      <c r="HN2" s="128" t="str">
        <f t="shared" si="2"/>
        <v/>
      </c>
      <c r="HO2" s="128" t="str">
        <f t="shared" si="2"/>
        <v/>
      </c>
      <c r="HP2" s="128" t="str">
        <f t="shared" si="2"/>
        <v/>
      </c>
      <c r="HQ2" s="128" t="str">
        <f t="shared" si="2"/>
        <v/>
      </c>
      <c r="HR2" s="128" t="str">
        <f t="shared" si="2"/>
        <v/>
      </c>
      <c r="HS2" s="128" t="str">
        <f t="shared" si="2"/>
        <v/>
      </c>
      <c r="HT2" s="128" t="str">
        <f t="shared" si="2"/>
        <v/>
      </c>
      <c r="HU2" s="128" t="str">
        <f t="shared" ref="HU2:IK2" si="3">IF(HU3="","",HT2+1)</f>
        <v/>
      </c>
      <c r="HV2" s="128" t="str">
        <f t="shared" si="3"/>
        <v/>
      </c>
      <c r="HW2" s="128" t="str">
        <f t="shared" si="3"/>
        <v/>
      </c>
      <c r="HX2" s="128" t="str">
        <f t="shared" si="3"/>
        <v/>
      </c>
      <c r="HY2" s="128" t="str">
        <f t="shared" si="3"/>
        <v/>
      </c>
      <c r="HZ2" s="128" t="str">
        <f t="shared" si="3"/>
        <v/>
      </c>
      <c r="IA2" s="128" t="str">
        <f t="shared" si="3"/>
        <v/>
      </c>
      <c r="IB2" s="128" t="str">
        <f t="shared" si="3"/>
        <v/>
      </c>
      <c r="IC2" s="128" t="str">
        <f t="shared" si="3"/>
        <v/>
      </c>
      <c r="ID2" s="128" t="str">
        <f t="shared" si="3"/>
        <v/>
      </c>
      <c r="IE2" s="128" t="str">
        <f t="shared" si="3"/>
        <v/>
      </c>
      <c r="IF2" s="128" t="str">
        <f t="shared" si="3"/>
        <v/>
      </c>
      <c r="IG2" s="128" t="str">
        <f t="shared" si="3"/>
        <v/>
      </c>
      <c r="IH2" s="128" t="str">
        <f t="shared" si="3"/>
        <v/>
      </c>
      <c r="II2" s="128" t="str">
        <f t="shared" si="3"/>
        <v/>
      </c>
      <c r="IJ2" s="128" t="str">
        <f t="shared" si="3"/>
        <v/>
      </c>
      <c r="IK2" s="128" t="str">
        <f t="shared" si="3"/>
        <v/>
      </c>
    </row>
    <row r="3" spans="1:245" s="134" customFormat="1" x14ac:dyDescent="0.2">
      <c r="A3" s="130" t="s">
        <v>126</v>
      </c>
      <c r="B3" s="131" t="s">
        <v>157</v>
      </c>
      <c r="C3" s="131" t="s">
        <v>157</v>
      </c>
      <c r="D3" s="131" t="s">
        <v>157</v>
      </c>
      <c r="E3" s="132" t="s">
        <v>157</v>
      </c>
      <c r="F3" s="133" t="s">
        <v>157</v>
      </c>
      <c r="G3" s="131" t="s">
        <v>157</v>
      </c>
      <c r="H3" s="133" t="s">
        <v>157</v>
      </c>
      <c r="I3" s="131" t="s">
        <v>157</v>
      </c>
      <c r="J3" s="131" t="s">
        <v>157</v>
      </c>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row>
    <row r="4" spans="1:245" s="134" customFormat="1" ht="51" x14ac:dyDescent="0.2">
      <c r="A4" s="130" t="s">
        <v>127</v>
      </c>
      <c r="B4" s="131" t="s">
        <v>561</v>
      </c>
      <c r="C4" s="131" t="s">
        <v>531</v>
      </c>
      <c r="D4" s="131" t="s">
        <v>541</v>
      </c>
      <c r="E4" s="132" t="s">
        <v>709</v>
      </c>
      <c r="F4" s="131" t="s">
        <v>539</v>
      </c>
      <c r="G4" s="131" t="s">
        <v>565</v>
      </c>
      <c r="H4" s="133" t="s">
        <v>608</v>
      </c>
      <c r="I4" s="131" t="s">
        <v>677</v>
      </c>
      <c r="J4" s="131" t="s">
        <v>696</v>
      </c>
      <c r="K4" s="132"/>
      <c r="L4" s="131"/>
      <c r="M4" s="131"/>
      <c r="N4" s="131"/>
      <c r="O4" s="132"/>
      <c r="P4" s="132"/>
      <c r="Q4" s="131"/>
      <c r="R4" s="131"/>
      <c r="S4" s="131"/>
      <c r="T4" s="131"/>
      <c r="U4" s="131"/>
      <c r="V4" s="131"/>
      <c r="W4" s="131"/>
      <c r="X4" s="136"/>
      <c r="Y4" s="131"/>
      <c r="Z4" s="132"/>
      <c r="AA4" s="131"/>
      <c r="AB4" s="131"/>
      <c r="AC4" s="132"/>
      <c r="AD4" s="132"/>
      <c r="AE4" s="132"/>
      <c r="AF4" s="132"/>
      <c r="AG4" s="132"/>
      <c r="AH4" s="132"/>
      <c r="AI4" s="132"/>
      <c r="AQ4" s="137"/>
      <c r="AR4" s="137"/>
      <c r="AS4" s="137"/>
      <c r="AT4" s="137"/>
      <c r="AU4" s="137"/>
      <c r="AV4" s="137"/>
      <c r="AW4" s="137"/>
      <c r="GA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row>
    <row r="5" spans="1:245" s="142" customFormat="1" ht="25.5" x14ac:dyDescent="0.2">
      <c r="A5" s="138" t="s">
        <v>128</v>
      </c>
      <c r="B5" s="139" t="s">
        <v>560</v>
      </c>
      <c r="C5" s="139" t="s">
        <v>532</v>
      </c>
      <c r="D5" s="141" t="s">
        <v>540</v>
      </c>
      <c r="E5" s="139" t="s">
        <v>710</v>
      </c>
      <c r="F5" s="142" t="s">
        <v>552</v>
      </c>
      <c r="G5" s="139" t="s">
        <v>566</v>
      </c>
      <c r="H5" s="141" t="s">
        <v>609</v>
      </c>
      <c r="I5" s="139" t="s">
        <v>678</v>
      </c>
      <c r="J5" s="139" t="s">
        <v>698</v>
      </c>
      <c r="K5" s="139"/>
      <c r="L5" s="140"/>
      <c r="M5" s="139"/>
      <c r="N5" s="140"/>
      <c r="O5" s="140"/>
      <c r="P5" s="140"/>
      <c r="Q5" s="139"/>
      <c r="R5" s="140"/>
      <c r="S5" s="139"/>
      <c r="T5" s="140"/>
      <c r="U5" s="139"/>
      <c r="V5" s="140"/>
      <c r="W5" s="139"/>
      <c r="X5" s="140"/>
      <c r="Y5" s="139"/>
      <c r="Z5" s="139"/>
      <c r="AA5" s="140"/>
      <c r="AB5" s="140"/>
      <c r="AC5" s="140"/>
      <c r="AD5" s="140"/>
      <c r="AE5" s="140"/>
      <c r="AF5" s="140"/>
      <c r="AG5" s="140"/>
      <c r="AH5" s="140"/>
      <c r="AI5" s="140"/>
      <c r="DO5" s="143"/>
      <c r="GC5" s="144"/>
      <c r="GD5" s="144"/>
      <c r="GE5" s="144"/>
      <c r="GF5" s="144"/>
      <c r="GG5" s="144"/>
      <c r="GH5" s="144"/>
      <c r="GI5" s="144"/>
      <c r="GJ5" s="144"/>
      <c r="GK5" s="144"/>
      <c r="GL5" s="144"/>
      <c r="GM5" s="144"/>
      <c r="GN5" s="144"/>
      <c r="GO5" s="144"/>
      <c r="GP5" s="144"/>
      <c r="GQ5" s="144"/>
      <c r="GR5" s="144"/>
      <c r="GS5" s="144"/>
      <c r="GT5" s="144"/>
      <c r="GU5" s="144"/>
      <c r="GV5" s="144"/>
      <c r="GW5" s="145"/>
      <c r="GX5" s="144"/>
      <c r="GY5" s="144"/>
      <c r="GZ5" s="144"/>
      <c r="HA5" s="144"/>
      <c r="HB5" s="144"/>
    </row>
    <row r="6" spans="1:245" s="142" customFormat="1" x14ac:dyDescent="0.2">
      <c r="A6" s="138" t="s">
        <v>129</v>
      </c>
      <c r="B6" s="139"/>
      <c r="C6" s="139" t="s">
        <v>533</v>
      </c>
      <c r="D6" s="140"/>
      <c r="E6" s="140"/>
      <c r="F6" s="141" t="s">
        <v>553</v>
      </c>
      <c r="G6" s="139"/>
      <c r="H6" s="141"/>
      <c r="I6" s="139" t="s">
        <v>679</v>
      </c>
      <c r="J6" s="139"/>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row>
    <row r="7" spans="1:245" s="149" customFormat="1" x14ac:dyDescent="0.2">
      <c r="A7" s="130" t="s">
        <v>130</v>
      </c>
      <c r="B7" s="146" t="s">
        <v>562</v>
      </c>
      <c r="C7" s="146" t="s">
        <v>534</v>
      </c>
      <c r="D7" s="146" t="s">
        <v>547</v>
      </c>
      <c r="E7" s="147" t="s">
        <v>708</v>
      </c>
      <c r="F7" s="148" t="s">
        <v>554</v>
      </c>
      <c r="G7" s="146" t="s">
        <v>562</v>
      </c>
      <c r="H7" s="148" t="s">
        <v>547</v>
      </c>
      <c r="I7" s="146" t="s">
        <v>680</v>
      </c>
      <c r="J7" s="146" t="s">
        <v>694</v>
      </c>
      <c r="K7" s="147"/>
      <c r="L7" s="147"/>
      <c r="M7" s="146"/>
      <c r="N7" s="147"/>
      <c r="O7" s="147"/>
      <c r="P7" s="147"/>
      <c r="Q7" s="146"/>
      <c r="R7" s="147"/>
      <c r="S7" s="146"/>
      <c r="T7" s="147"/>
      <c r="U7" s="147"/>
      <c r="V7" s="147"/>
      <c r="W7" s="147"/>
      <c r="X7" s="147"/>
      <c r="Y7" s="147"/>
      <c r="Z7" s="147"/>
      <c r="AA7" s="147"/>
      <c r="AB7" s="147"/>
      <c r="AC7" s="147"/>
      <c r="AD7" s="147"/>
      <c r="AE7" s="147"/>
      <c r="AF7" s="147"/>
      <c r="AG7" s="147"/>
      <c r="AH7" s="147"/>
      <c r="AI7" s="147"/>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row>
    <row r="8" spans="1:245" s="149" customFormat="1" x14ac:dyDescent="0.2">
      <c r="A8" s="130" t="s">
        <v>131</v>
      </c>
      <c r="B8" s="146"/>
      <c r="C8" s="146"/>
      <c r="D8" s="147"/>
      <c r="E8" s="147"/>
      <c r="F8" s="148"/>
      <c r="G8" s="146"/>
      <c r="H8" s="148"/>
      <c r="I8" s="146"/>
      <c r="J8" s="146"/>
      <c r="K8" s="147"/>
      <c r="L8" s="147"/>
      <c r="M8" s="147"/>
      <c r="N8" s="146"/>
      <c r="O8" s="147"/>
      <c r="P8" s="147"/>
      <c r="Q8" s="147"/>
      <c r="R8" s="147"/>
      <c r="S8" s="146"/>
      <c r="T8" s="147"/>
      <c r="U8" s="147"/>
      <c r="V8" s="147"/>
      <c r="W8" s="147"/>
      <c r="X8" s="147"/>
      <c r="Y8" s="147"/>
      <c r="Z8" s="147"/>
      <c r="AA8" s="147"/>
      <c r="AB8" s="147"/>
      <c r="AC8" s="147"/>
      <c r="AD8" s="147"/>
      <c r="AE8" s="147"/>
      <c r="AF8" s="147"/>
      <c r="AG8" s="147"/>
      <c r="AH8" s="147"/>
      <c r="AI8" s="147"/>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row>
    <row r="9" spans="1:245" s="142" customFormat="1" x14ac:dyDescent="0.2">
      <c r="A9" s="138" t="s">
        <v>132</v>
      </c>
      <c r="B9" s="139" t="s">
        <v>563</v>
      </c>
      <c r="C9" s="151" t="s">
        <v>535</v>
      </c>
      <c r="D9" s="151"/>
      <c r="E9" s="140" t="s">
        <v>711</v>
      </c>
      <c r="F9" s="141" t="s">
        <v>556</v>
      </c>
      <c r="G9" s="139" t="s">
        <v>567</v>
      </c>
      <c r="H9" s="141" t="s">
        <v>610</v>
      </c>
      <c r="I9" s="139" t="s">
        <v>682</v>
      </c>
      <c r="J9" s="139" t="s">
        <v>699</v>
      </c>
      <c r="K9" s="140"/>
      <c r="L9" s="139"/>
      <c r="M9" s="139"/>
      <c r="N9" s="140"/>
      <c r="O9" s="140"/>
      <c r="P9" s="140"/>
      <c r="Q9" s="151"/>
      <c r="R9" s="140"/>
      <c r="S9" s="139"/>
      <c r="T9" s="139"/>
      <c r="U9" s="139"/>
      <c r="V9" s="140"/>
      <c r="W9" s="140"/>
      <c r="X9" s="140"/>
      <c r="Y9" s="140"/>
      <c r="Z9" s="140"/>
      <c r="AA9" s="140"/>
      <c r="AB9" s="140"/>
      <c r="AC9" s="140"/>
      <c r="AD9" s="140"/>
      <c r="AE9" s="140"/>
      <c r="AF9" s="140"/>
      <c r="AG9" s="140"/>
      <c r="AH9" s="140"/>
      <c r="AI9" s="140"/>
      <c r="AY9" s="143"/>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row>
    <row r="10" spans="1:245" s="142" customFormat="1" x14ac:dyDescent="0.2">
      <c r="A10" s="138" t="s">
        <v>133</v>
      </c>
      <c r="B10" s="139" t="s">
        <v>560</v>
      </c>
      <c r="C10" s="139" t="s">
        <v>536</v>
      </c>
      <c r="D10" s="139"/>
      <c r="E10" s="140" t="s">
        <v>710</v>
      </c>
      <c r="F10" s="141" t="s">
        <v>555</v>
      </c>
      <c r="G10" s="139" t="s">
        <v>566</v>
      </c>
      <c r="H10" s="141" t="s">
        <v>611</v>
      </c>
      <c r="I10" s="139" t="s">
        <v>681</v>
      </c>
      <c r="J10" s="139" t="s">
        <v>697</v>
      </c>
      <c r="K10" s="140"/>
      <c r="L10" s="140"/>
      <c r="M10" s="140"/>
      <c r="N10" s="140"/>
      <c r="O10" s="140"/>
      <c r="P10" s="140"/>
      <c r="Q10" s="139"/>
      <c r="R10" s="140"/>
      <c r="S10" s="140"/>
      <c r="T10" s="140"/>
      <c r="U10" s="140"/>
      <c r="V10" s="140"/>
      <c r="W10" s="140"/>
      <c r="X10" s="140"/>
      <c r="Y10" s="140"/>
      <c r="Z10" s="140"/>
      <c r="AA10" s="140"/>
      <c r="AB10" s="140"/>
      <c r="AC10" s="140"/>
      <c r="AD10" s="140"/>
      <c r="AE10" s="140"/>
      <c r="AF10" s="140"/>
      <c r="AG10" s="140"/>
      <c r="AH10" s="140"/>
      <c r="AI10" s="140"/>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row>
    <row r="11" spans="1:245" s="149" customFormat="1" x14ac:dyDescent="0.2">
      <c r="A11" s="130" t="s">
        <v>134</v>
      </c>
      <c r="B11" s="146"/>
      <c r="C11" s="146"/>
      <c r="D11" s="147"/>
      <c r="E11" s="147"/>
      <c r="F11" s="148"/>
      <c r="G11" s="146"/>
      <c r="H11" s="148"/>
      <c r="I11" s="146"/>
      <c r="J11" s="146"/>
      <c r="K11" s="147"/>
      <c r="L11" s="147"/>
      <c r="M11" s="147"/>
      <c r="N11" s="147"/>
      <c r="O11" s="147"/>
      <c r="P11" s="147"/>
      <c r="Q11" s="147"/>
      <c r="R11" s="147"/>
      <c r="S11" s="146"/>
      <c r="T11" s="147"/>
      <c r="U11" s="147"/>
      <c r="V11" s="147"/>
      <c r="W11" s="147"/>
      <c r="X11" s="146"/>
      <c r="Y11" s="147"/>
      <c r="Z11" s="147"/>
      <c r="AA11" s="147"/>
      <c r="AB11" s="147"/>
      <c r="AC11" s="147"/>
      <c r="AD11" s="147"/>
      <c r="AE11" s="147"/>
      <c r="AF11" s="147"/>
      <c r="AG11" s="147"/>
      <c r="AH11" s="147"/>
      <c r="AI11" s="147"/>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row>
    <row r="12" spans="1:245" s="149" customFormat="1" ht="25.5" x14ac:dyDescent="0.2">
      <c r="A12" s="130" t="s">
        <v>135</v>
      </c>
      <c r="B12" s="146"/>
      <c r="C12" s="146"/>
      <c r="D12" s="147"/>
      <c r="E12" s="147"/>
      <c r="F12" s="148"/>
      <c r="G12" s="146"/>
      <c r="H12" s="148"/>
      <c r="I12" s="146"/>
      <c r="J12" s="146"/>
      <c r="K12" s="147"/>
      <c r="L12" s="147"/>
      <c r="M12" s="147"/>
      <c r="N12" s="147"/>
      <c r="O12" s="147"/>
      <c r="P12" s="147"/>
      <c r="Q12" s="147"/>
      <c r="R12" s="147"/>
      <c r="S12" s="146"/>
      <c r="T12" s="147"/>
      <c r="U12" s="147"/>
      <c r="V12" s="147"/>
      <c r="W12" s="147"/>
      <c r="X12" s="146"/>
      <c r="Y12" s="147"/>
      <c r="Z12" s="147"/>
      <c r="AA12" s="147"/>
      <c r="AB12" s="147"/>
      <c r="AC12" s="147"/>
      <c r="AD12" s="147"/>
      <c r="AE12" s="147"/>
      <c r="AF12" s="147"/>
      <c r="AG12" s="147"/>
      <c r="AH12" s="147"/>
      <c r="AI12" s="147"/>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row>
    <row r="13" spans="1:245" s="142" customFormat="1" x14ac:dyDescent="0.2">
      <c r="A13" s="138" t="s">
        <v>136</v>
      </c>
      <c r="B13" s="139"/>
      <c r="C13" s="139"/>
      <c r="D13" s="140"/>
      <c r="E13" s="140"/>
      <c r="F13" s="141"/>
      <c r="G13" s="139"/>
      <c r="H13" s="141"/>
      <c r="I13" s="139"/>
      <c r="J13" s="139" t="s">
        <v>702</v>
      </c>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row>
    <row r="14" spans="1:245" s="142" customFormat="1" ht="25.5" x14ac:dyDescent="0.2">
      <c r="A14" s="138" t="s">
        <v>137</v>
      </c>
      <c r="B14" s="139"/>
      <c r="C14" s="139"/>
      <c r="D14" s="140"/>
      <c r="E14" s="140"/>
      <c r="F14" s="141"/>
      <c r="G14" s="139"/>
      <c r="H14" s="141"/>
      <c r="I14" s="139"/>
      <c r="J14" s="139" t="s">
        <v>695</v>
      </c>
      <c r="K14" s="140"/>
      <c r="L14" s="140"/>
      <c r="M14" s="140"/>
      <c r="N14" s="139"/>
      <c r="O14" s="140"/>
      <c r="P14" s="140"/>
      <c r="Q14" s="140"/>
      <c r="R14" s="140"/>
      <c r="S14" s="140"/>
      <c r="T14" s="140"/>
      <c r="U14" s="140"/>
      <c r="V14" s="140"/>
      <c r="W14" s="140"/>
      <c r="X14" s="140"/>
      <c r="Y14" s="140"/>
      <c r="Z14" s="140"/>
      <c r="AA14" s="140"/>
      <c r="AB14" s="140"/>
      <c r="AC14" s="140"/>
      <c r="AD14" s="140"/>
      <c r="AE14" s="140"/>
      <c r="AF14" s="140"/>
      <c r="AG14" s="140"/>
      <c r="AH14" s="140"/>
      <c r="AI14" s="140"/>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row>
    <row r="15" spans="1:245" s="134" customFormat="1" ht="25.5" x14ac:dyDescent="0.2">
      <c r="A15" s="130" t="s">
        <v>138</v>
      </c>
      <c r="B15" s="131"/>
      <c r="C15" s="131"/>
      <c r="D15" s="132"/>
      <c r="E15" s="132"/>
      <c r="F15" s="133" t="s">
        <v>549</v>
      </c>
      <c r="G15" s="131"/>
      <c r="H15" s="133"/>
      <c r="I15" s="131" t="s">
        <v>683</v>
      </c>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row>
    <row r="16" spans="1:245" s="149" customFormat="1" x14ac:dyDescent="0.2">
      <c r="A16" s="130" t="s">
        <v>139</v>
      </c>
      <c r="B16" s="146"/>
      <c r="C16" s="146"/>
      <c r="D16" s="147"/>
      <c r="E16" s="147"/>
      <c r="F16" s="148" t="s">
        <v>550</v>
      </c>
      <c r="G16" s="146"/>
      <c r="H16" s="148"/>
      <c r="I16" s="146" t="s">
        <v>684</v>
      </c>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CC16" s="134"/>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row>
    <row r="17" spans="1:210" s="155" customFormat="1" x14ac:dyDescent="0.2">
      <c r="A17" s="138" t="s">
        <v>140</v>
      </c>
      <c r="B17" s="152"/>
      <c r="C17" s="152"/>
      <c r="D17" s="153"/>
      <c r="E17" s="153"/>
      <c r="F17" s="154" t="s">
        <v>551</v>
      </c>
      <c r="G17" s="152"/>
      <c r="H17" s="154"/>
      <c r="I17" s="152" t="s">
        <v>685</v>
      </c>
      <c r="J17" s="152"/>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row>
    <row r="18" spans="1:210" s="155" customFormat="1" x14ac:dyDescent="0.2">
      <c r="A18" s="138" t="s">
        <v>141</v>
      </c>
      <c r="B18" s="152"/>
      <c r="C18" s="152"/>
      <c r="D18" s="153"/>
      <c r="E18" s="153"/>
      <c r="F18" s="154"/>
      <c r="G18" s="152"/>
      <c r="H18" s="154"/>
      <c r="I18" s="152"/>
      <c r="J18" s="152"/>
      <c r="K18" s="153"/>
      <c r="L18" s="153"/>
      <c r="M18" s="153"/>
      <c r="N18" s="153"/>
      <c r="O18" s="153"/>
      <c r="P18" s="153"/>
      <c r="Q18" s="153"/>
      <c r="R18" s="153"/>
      <c r="S18" s="153"/>
      <c r="T18" s="153"/>
      <c r="U18" s="153"/>
      <c r="V18" s="153"/>
      <c r="W18" s="153"/>
      <c r="X18" s="157"/>
      <c r="Y18" s="153"/>
      <c r="Z18" s="153"/>
      <c r="AA18" s="153"/>
      <c r="AB18" s="153"/>
      <c r="AC18" s="153"/>
      <c r="AD18" s="153"/>
      <c r="AE18" s="153"/>
      <c r="AF18" s="153"/>
      <c r="AG18" s="153"/>
      <c r="AH18" s="153"/>
      <c r="AI18" s="153"/>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row>
    <row r="19" spans="1:210" s="134" customFormat="1" x14ac:dyDescent="0.2">
      <c r="A19" s="130" t="s">
        <v>142</v>
      </c>
      <c r="B19" s="131"/>
      <c r="C19" s="131"/>
      <c r="D19" s="132"/>
      <c r="E19" s="132"/>
      <c r="F19" s="133"/>
      <c r="G19" s="131"/>
      <c r="H19" s="133"/>
      <c r="I19" s="131"/>
      <c r="J19" s="131"/>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row>
    <row r="20" spans="1:210" s="163" customFormat="1" x14ac:dyDescent="0.25">
      <c r="A20" s="158" t="s">
        <v>143</v>
      </c>
      <c r="B20" s="293" t="s">
        <v>239</v>
      </c>
      <c r="C20" s="159" t="s">
        <v>144</v>
      </c>
      <c r="D20" s="293" t="s">
        <v>538</v>
      </c>
      <c r="E20" s="160"/>
      <c r="F20" s="161"/>
      <c r="G20" s="293" t="s">
        <v>569</v>
      </c>
      <c r="H20" s="308" t="s">
        <v>612</v>
      </c>
      <c r="I20" s="159"/>
      <c r="J20" s="159"/>
      <c r="K20" s="160"/>
      <c r="L20" s="160"/>
      <c r="M20" s="162"/>
      <c r="N20" s="160"/>
      <c r="P20" s="164"/>
      <c r="Q20" s="160"/>
      <c r="R20" s="160"/>
      <c r="T20" s="160"/>
      <c r="U20" s="160"/>
      <c r="V20" s="160"/>
      <c r="W20" s="160"/>
      <c r="X20" s="160"/>
      <c r="Y20" s="160"/>
      <c r="Z20" s="160"/>
      <c r="AA20" s="164"/>
      <c r="AB20" s="164"/>
      <c r="AC20" s="164"/>
      <c r="AD20" s="164"/>
      <c r="AE20" s="164"/>
      <c r="AF20" s="164"/>
      <c r="AG20" s="164"/>
      <c r="AH20" s="164"/>
      <c r="AI20" s="164"/>
      <c r="AJ20" s="164"/>
      <c r="AK20" s="164"/>
      <c r="AL20" s="164"/>
      <c r="AM20" s="164"/>
      <c r="AN20" s="164"/>
      <c r="AO20" s="164"/>
      <c r="AP20" s="164"/>
      <c r="AQ20" s="164"/>
      <c r="AR20" s="164"/>
      <c r="AS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X20" s="164"/>
      <c r="BY20" s="164"/>
      <c r="BZ20" s="164"/>
      <c r="CA20" s="164"/>
      <c r="CB20" s="164"/>
      <c r="CC20" s="164"/>
      <c r="CD20" s="164"/>
      <c r="CE20" s="164"/>
      <c r="CF20" s="164"/>
      <c r="CG20" s="164"/>
      <c r="CH20" s="164"/>
      <c r="CI20" s="164"/>
      <c r="CK20" s="164"/>
      <c r="CL20" s="164"/>
      <c r="CN20" s="164"/>
      <c r="CO20" s="164"/>
      <c r="CP20" s="164"/>
      <c r="CQ20" s="164"/>
      <c r="CR20" s="164"/>
      <c r="CS20" s="164"/>
      <c r="CT20" s="164"/>
      <c r="CU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GC20" s="162"/>
      <c r="GE20" s="162"/>
      <c r="GI20" s="162"/>
      <c r="GJ20" s="162"/>
      <c r="GK20" s="162"/>
      <c r="GM20" s="162"/>
      <c r="GN20" s="162"/>
      <c r="GO20" s="162"/>
      <c r="GP20" s="162"/>
      <c r="GQ20" s="162"/>
      <c r="GR20" s="162"/>
      <c r="GS20" s="162"/>
      <c r="GT20" s="162"/>
      <c r="GU20" s="162"/>
      <c r="GV20" s="162"/>
      <c r="GW20" s="162"/>
      <c r="GX20" s="162"/>
      <c r="GY20" s="162"/>
      <c r="GZ20" s="162"/>
      <c r="HA20" s="162"/>
      <c r="HB20" s="162"/>
    </row>
    <row r="21" spans="1:210" s="146" customFormat="1" ht="25.5" x14ac:dyDescent="0.25">
      <c r="A21" s="165" t="s">
        <v>145</v>
      </c>
      <c r="B21" s="166"/>
      <c r="C21" s="166"/>
      <c r="D21" s="167" t="s">
        <v>548</v>
      </c>
      <c r="E21" s="167"/>
      <c r="F21" s="168"/>
      <c r="G21" s="166"/>
      <c r="H21" s="166" t="s">
        <v>613</v>
      </c>
      <c r="I21" s="166"/>
      <c r="J21" s="166"/>
      <c r="K21" s="167"/>
      <c r="L21" s="167"/>
      <c r="M21" s="169"/>
      <c r="N21" s="167"/>
      <c r="P21" s="170"/>
      <c r="Q21" s="167"/>
      <c r="R21" s="167"/>
      <c r="T21" s="167"/>
      <c r="U21" s="167"/>
      <c r="V21" s="167"/>
      <c r="W21" s="167"/>
      <c r="X21" s="167"/>
      <c r="Y21" s="167"/>
      <c r="Z21" s="167"/>
      <c r="AA21" s="170"/>
      <c r="AB21" s="170"/>
      <c r="AC21" s="170"/>
      <c r="AD21" s="170"/>
      <c r="AE21" s="170"/>
      <c r="AF21" s="170"/>
      <c r="AG21" s="170"/>
      <c r="AH21" s="170"/>
      <c r="AI21" s="170"/>
      <c r="AJ21" s="170"/>
      <c r="AK21" s="170"/>
      <c r="AL21" s="170"/>
      <c r="AM21" s="170"/>
      <c r="AN21" s="170"/>
      <c r="AO21" s="170"/>
      <c r="AP21" s="170"/>
      <c r="AQ21" s="170"/>
      <c r="AR21" s="170"/>
      <c r="AS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X21" s="170"/>
      <c r="BY21" s="170"/>
      <c r="BZ21" s="170"/>
      <c r="CA21" s="170"/>
      <c r="CB21" s="170"/>
      <c r="CC21" s="170"/>
      <c r="CD21" s="170"/>
      <c r="CE21" s="170"/>
      <c r="CF21" s="170"/>
      <c r="CG21" s="170"/>
      <c r="CH21" s="170"/>
      <c r="CI21" s="170"/>
      <c r="CK21" s="170"/>
      <c r="CL21" s="170"/>
      <c r="CN21" s="170"/>
      <c r="CO21" s="170"/>
      <c r="CP21" s="170"/>
      <c r="CQ21" s="170"/>
      <c r="CR21" s="170"/>
      <c r="CS21" s="170"/>
      <c r="CT21" s="170"/>
      <c r="CU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GC21" s="169"/>
      <c r="GE21" s="169"/>
      <c r="GI21" s="169"/>
      <c r="GJ21" s="169"/>
      <c r="GK21" s="169"/>
      <c r="GM21" s="169"/>
      <c r="GN21" s="169"/>
      <c r="GO21" s="169"/>
      <c r="GP21" s="169"/>
      <c r="GQ21" s="169"/>
      <c r="GR21" s="169"/>
      <c r="GS21" s="169"/>
      <c r="GT21" s="169"/>
      <c r="GU21" s="169"/>
      <c r="GV21" s="169"/>
      <c r="GW21" s="169"/>
      <c r="GX21" s="169"/>
      <c r="GY21" s="169"/>
      <c r="GZ21" s="169"/>
      <c r="HA21" s="169"/>
      <c r="HB21" s="169"/>
    </row>
    <row r="22" spans="1:210" s="142" customFormat="1" x14ac:dyDescent="0.2">
      <c r="A22" s="138" t="s">
        <v>146</v>
      </c>
      <c r="B22" s="139"/>
      <c r="C22" s="139"/>
      <c r="D22" s="140"/>
      <c r="E22" s="140"/>
      <c r="F22" s="141"/>
      <c r="G22" s="139"/>
      <c r="H22" s="141"/>
      <c r="I22" s="139"/>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row>
    <row r="23" spans="1:210" s="155" customFormat="1" ht="25.5" x14ac:dyDescent="0.2">
      <c r="A23" s="138" t="s">
        <v>147</v>
      </c>
      <c r="B23" s="152"/>
      <c r="C23" s="152"/>
      <c r="D23" s="152"/>
      <c r="E23" s="140"/>
      <c r="F23" s="154"/>
      <c r="G23" s="139"/>
      <c r="H23" s="154"/>
      <c r="I23" s="152"/>
      <c r="J23" s="152"/>
      <c r="K23" s="140"/>
      <c r="L23" s="153"/>
      <c r="M23" s="139"/>
      <c r="N23" s="153"/>
      <c r="O23" s="153"/>
      <c r="P23" s="153"/>
      <c r="Q23" s="152"/>
      <c r="R23" s="153"/>
      <c r="S23" s="152"/>
      <c r="T23" s="153"/>
      <c r="U23" s="153"/>
      <c r="V23" s="153"/>
      <c r="W23" s="153"/>
      <c r="X23" s="152"/>
      <c r="Y23" s="153"/>
      <c r="Z23" s="153"/>
      <c r="AA23" s="153"/>
      <c r="AB23" s="153"/>
      <c r="AC23" s="153"/>
      <c r="AD23" s="153"/>
      <c r="AE23" s="153"/>
      <c r="AF23" s="153"/>
      <c r="AG23" s="153"/>
      <c r="AH23" s="153"/>
      <c r="AI23" s="153"/>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row>
    <row r="24" spans="1:210" s="149" customFormat="1" ht="25.5" x14ac:dyDescent="0.2">
      <c r="A24" s="130" t="s">
        <v>148</v>
      </c>
      <c r="B24" s="146"/>
      <c r="C24" s="131"/>
      <c r="D24" s="132"/>
      <c r="E24" s="132"/>
      <c r="F24" s="148"/>
      <c r="G24" s="131"/>
      <c r="H24" s="148"/>
      <c r="I24" s="146"/>
      <c r="J24" s="146"/>
      <c r="K24" s="132"/>
      <c r="L24" s="147"/>
      <c r="M24" s="131"/>
      <c r="N24" s="147"/>
      <c r="O24" s="147"/>
      <c r="P24" s="147"/>
      <c r="Q24" s="132"/>
      <c r="R24" s="147"/>
      <c r="S24" s="131"/>
      <c r="T24" s="147"/>
      <c r="U24" s="147"/>
      <c r="V24" s="147"/>
      <c r="W24" s="147"/>
      <c r="X24" s="147"/>
      <c r="Y24" s="147"/>
      <c r="Z24" s="147"/>
      <c r="AA24" s="147"/>
      <c r="AB24" s="147"/>
      <c r="AC24" s="147"/>
      <c r="AD24" s="147"/>
      <c r="AE24" s="147"/>
      <c r="AF24" s="147"/>
      <c r="AG24" s="147"/>
      <c r="AH24" s="147"/>
      <c r="AI24" s="147"/>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row>
    <row r="25" spans="1:210" s="134" customFormat="1" x14ac:dyDescent="0.2">
      <c r="A25" s="130" t="s">
        <v>149</v>
      </c>
      <c r="B25" s="131"/>
      <c r="C25" s="131"/>
      <c r="D25" s="131"/>
      <c r="E25" s="132"/>
      <c r="F25" s="133"/>
      <c r="G25" s="131"/>
      <c r="H25" s="133"/>
      <c r="I25" s="131"/>
      <c r="J25" s="131"/>
      <c r="K25" s="132"/>
      <c r="L25" s="132"/>
      <c r="M25" s="131"/>
      <c r="N25" s="132"/>
      <c r="O25" s="132"/>
      <c r="P25" s="132"/>
      <c r="Q25" s="131"/>
      <c r="R25" s="132"/>
      <c r="S25" s="131"/>
      <c r="T25" s="132"/>
      <c r="U25" s="132"/>
      <c r="V25" s="132"/>
      <c r="W25" s="132"/>
      <c r="X25" s="132"/>
      <c r="Y25" s="132"/>
      <c r="Z25" s="132"/>
      <c r="AA25" s="132"/>
      <c r="AB25" s="132"/>
      <c r="AC25" s="132"/>
      <c r="AD25" s="132"/>
      <c r="AE25" s="132"/>
      <c r="AF25" s="132"/>
      <c r="AG25" s="132"/>
      <c r="AH25" s="132"/>
      <c r="AI25" s="132"/>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row>
    <row r="26" spans="1:210" s="142" customFormat="1" ht="140.25" x14ac:dyDescent="0.2">
      <c r="A26" s="143" t="s">
        <v>150</v>
      </c>
      <c r="B26" s="139" t="s">
        <v>564</v>
      </c>
      <c r="C26" s="139" t="s">
        <v>537</v>
      </c>
      <c r="D26" s="139" t="s">
        <v>546</v>
      </c>
      <c r="E26" s="172" t="s">
        <v>712</v>
      </c>
      <c r="F26" s="171" t="s">
        <v>557</v>
      </c>
      <c r="G26" s="139" t="s">
        <v>568</v>
      </c>
      <c r="H26" s="171" t="s">
        <v>614</v>
      </c>
      <c r="I26" s="139" t="s">
        <v>686</v>
      </c>
      <c r="J26" s="139" t="s">
        <v>700</v>
      </c>
      <c r="K26" s="172"/>
      <c r="L26" s="139"/>
      <c r="M26" s="139"/>
      <c r="N26" s="139"/>
      <c r="O26" s="139"/>
      <c r="P26" s="139"/>
      <c r="Q26" s="139"/>
      <c r="R26" s="139"/>
      <c r="S26" s="139"/>
      <c r="T26" s="139"/>
      <c r="U26" s="139"/>
      <c r="V26" s="139"/>
      <c r="W26" s="139"/>
      <c r="X26" s="139"/>
      <c r="Y26" s="139"/>
      <c r="Z26" s="139"/>
      <c r="AA26" s="173"/>
      <c r="AB26" s="173"/>
      <c r="AC26" s="173"/>
      <c r="AD26" s="139"/>
      <c r="AE26" s="173"/>
      <c r="AF26" s="173"/>
      <c r="AG26" s="173"/>
      <c r="AH26" s="173"/>
      <c r="AI26" s="173"/>
      <c r="AJ26" s="143"/>
      <c r="AK26" s="174"/>
      <c r="AL26" s="174"/>
      <c r="AM26" s="174"/>
      <c r="AN26" s="174"/>
      <c r="AO26" s="174"/>
      <c r="AP26" s="174"/>
      <c r="AQ26" s="174"/>
      <c r="AR26" s="174"/>
      <c r="AS26" s="174"/>
      <c r="AU26" s="143"/>
      <c r="AV26" s="143"/>
      <c r="AW26" s="143"/>
      <c r="AX26" s="143"/>
      <c r="BL26" s="174"/>
      <c r="DS26" s="143"/>
      <c r="DT26" s="143"/>
      <c r="GC26" s="144"/>
      <c r="GD26" s="144"/>
      <c r="GE26" s="144"/>
      <c r="GF26" s="144"/>
      <c r="GG26" s="144"/>
      <c r="GH26" s="144"/>
      <c r="GI26" s="144"/>
      <c r="GJ26" s="144"/>
      <c r="GK26" s="145"/>
      <c r="GL26" s="144"/>
      <c r="GM26" s="144"/>
      <c r="GN26" s="144"/>
      <c r="GO26" s="144"/>
      <c r="GP26" s="144"/>
      <c r="GQ26" s="144"/>
      <c r="GR26" s="144"/>
      <c r="GS26" s="144"/>
      <c r="GT26" s="144"/>
      <c r="GU26" s="144"/>
      <c r="GV26" s="144"/>
      <c r="GW26" s="144"/>
      <c r="GX26" s="144"/>
      <c r="GY26" s="144"/>
      <c r="GZ26" s="144"/>
      <c r="HA26" s="175"/>
      <c r="HB26" s="175"/>
    </row>
    <row r="27" spans="1:210" s="142" customFormat="1" ht="51" x14ac:dyDescent="0.25">
      <c r="A27" s="138" t="s">
        <v>151</v>
      </c>
      <c r="B27" s="139"/>
      <c r="C27" s="139"/>
      <c r="D27" s="140"/>
      <c r="E27" s="140"/>
      <c r="F27" s="141" t="s">
        <v>558</v>
      </c>
      <c r="G27" s="139" t="s">
        <v>570</v>
      </c>
      <c r="H27" s="139"/>
      <c r="I27" s="139"/>
      <c r="J27" s="139"/>
      <c r="K27" s="140"/>
      <c r="L27" s="140"/>
      <c r="M27" s="140"/>
      <c r="N27" s="140"/>
      <c r="O27" s="140"/>
      <c r="P27" s="140"/>
      <c r="Q27" s="140"/>
      <c r="R27" s="140"/>
      <c r="S27" s="139"/>
      <c r="T27" s="140"/>
      <c r="U27" s="140"/>
      <c r="V27" s="140"/>
      <c r="W27" s="140"/>
      <c r="X27" s="139"/>
      <c r="Y27" s="140"/>
      <c r="Z27" s="140"/>
      <c r="AA27" s="140"/>
      <c r="AB27" s="140"/>
      <c r="AC27" s="140"/>
      <c r="AD27" s="140"/>
      <c r="AE27" s="140"/>
      <c r="AF27" s="140"/>
      <c r="AG27" s="140"/>
      <c r="AH27" s="140"/>
      <c r="AI27" s="140"/>
    </row>
    <row r="28" spans="1:210" s="176" customFormat="1" ht="12.75" customHeight="1" x14ac:dyDescent="0.25">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210" s="176" customFormat="1" ht="12.75" customHeight="1" x14ac:dyDescent="0.25">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row>
    <row r="30" spans="1:210" s="176" customFormat="1" ht="12.75" customHeight="1" x14ac:dyDescent="0.25">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row>
    <row r="31" spans="1:210" s="176" customFormat="1" ht="12.75" customHeight="1" x14ac:dyDescent="0.25">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210" s="176" customFormat="1" ht="12.75" customHeight="1" x14ac:dyDescent="0.25">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row>
    <row r="33" spans="2:35" s="176" customFormat="1" ht="12.75" customHeight="1" x14ac:dyDescent="0.25">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row>
    <row r="34" spans="2:35" s="176" customFormat="1" ht="12.75" customHeight="1" x14ac:dyDescent="0.25">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row>
    <row r="35" spans="2:35" s="176" customFormat="1" ht="12.75" customHeight="1" x14ac:dyDescent="0.25">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2:35" s="176" customFormat="1" ht="12.75" customHeight="1" x14ac:dyDescent="0.25">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2:35" s="176" customFormat="1" ht="12.75" customHeight="1" x14ac:dyDescent="0.25">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2:35" s="176" customFormat="1" ht="12.75" customHeight="1" x14ac:dyDescent="0.25">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row>
    <row r="39" spans="2:35" s="176" customFormat="1" ht="12.75" customHeight="1" x14ac:dyDescent="0.25">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row>
    <row r="40" spans="2:35" s="176" customFormat="1" ht="12.75" customHeight="1" x14ac:dyDescent="0.25">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50" spans="1:35" ht="12.75" customHeight="1" x14ac:dyDescent="0.2">
      <c r="A50" s="178" t="s">
        <v>152</v>
      </c>
    </row>
    <row r="51" spans="1:35" s="181" customFormat="1" ht="12.75" customHeight="1" x14ac:dyDescent="0.25">
      <c r="B51" s="182" t="s">
        <v>153</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row>
    <row r="52" spans="1:35" ht="12.75" customHeight="1" x14ac:dyDescent="0.2">
      <c r="B52" s="183" t="s">
        <v>82</v>
      </c>
    </row>
    <row r="53" spans="1:35" ht="12.75" customHeight="1" x14ac:dyDescent="0.2">
      <c r="B53" s="184" t="s">
        <v>154</v>
      </c>
    </row>
    <row r="54" spans="1:35" ht="12.75" customHeight="1" x14ac:dyDescent="0.2">
      <c r="B54" s="184" t="s">
        <v>155</v>
      </c>
    </row>
    <row r="55" spans="1:35" ht="12.75" customHeight="1" x14ac:dyDescent="0.2">
      <c r="B55" s="184" t="s">
        <v>156</v>
      </c>
    </row>
    <row r="56" spans="1:35" ht="12.75" customHeight="1" x14ac:dyDescent="0.2">
      <c r="B56" s="184" t="s">
        <v>157</v>
      </c>
    </row>
    <row r="57" spans="1:35" ht="12.75" customHeight="1" x14ac:dyDescent="0.2">
      <c r="B57" s="184" t="s">
        <v>158</v>
      </c>
    </row>
    <row r="58" spans="1:35" ht="12.75" customHeight="1" x14ac:dyDescent="0.2">
      <c r="B58" s="184" t="s">
        <v>159</v>
      </c>
    </row>
    <row r="59" spans="1:35" ht="12.75" customHeight="1" x14ac:dyDescent="0.2">
      <c r="B59" s="184" t="s">
        <v>160</v>
      </c>
    </row>
    <row r="60" spans="1:35" ht="12.75" customHeight="1" x14ac:dyDescent="0.2">
      <c r="B60" s="184" t="s">
        <v>161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H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H3">
      <formula1>lstSourceType</formula1>
    </dataValidation>
  </dataValidations>
  <hyperlinks>
    <hyperlink ref="D20" r:id="rId1"/>
    <hyperlink ref="B20" r:id="rId2"/>
    <hyperlink ref="H20" r:id="rId3"/>
    <hyperlink ref="G20" r:id="rId4"/>
  </hyperlinks>
  <pageMargins left="0.25" right="0.25" top="0.5" bottom="0.5" header="0.3" footer="0.3"/>
  <pageSetup scale="99" orientation="landscape" r:id="rId5"/>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activeCell="H5" sqref="H5"/>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86" t="s">
        <v>18</v>
      </c>
      <c r="B1" s="386"/>
      <c r="C1" s="386"/>
      <c r="D1" s="386"/>
      <c r="E1" s="386"/>
      <c r="F1" s="386"/>
      <c r="G1" s="386"/>
      <c r="H1" s="386"/>
      <c r="I1" s="386"/>
      <c r="J1" s="386"/>
      <c r="K1" s="38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5" t="s">
        <v>162</v>
      </c>
      <c r="C2" s="186"/>
      <c r="D2" s="186"/>
      <c r="E2" s="186"/>
      <c r="F2" s="186"/>
      <c r="G2" s="186"/>
      <c r="H2" s="186"/>
    </row>
    <row r="3" spans="1:39" s="184" customFormat="1" ht="40.5" customHeight="1" x14ac:dyDescent="0.2">
      <c r="B3" s="187" t="s">
        <v>163</v>
      </c>
      <c r="C3" s="188" t="s">
        <v>164</v>
      </c>
      <c r="D3" s="188" t="s">
        <v>165</v>
      </c>
      <c r="E3" s="188" t="s">
        <v>88</v>
      </c>
      <c r="F3" s="188" t="s">
        <v>166</v>
      </c>
      <c r="G3" s="188" t="s">
        <v>167</v>
      </c>
      <c r="H3" s="188" t="s">
        <v>168</v>
      </c>
      <c r="I3" s="189" t="s">
        <v>17</v>
      </c>
      <c r="J3" s="188" t="s">
        <v>169</v>
      </c>
      <c r="K3" s="188" t="s">
        <v>170</v>
      </c>
    </row>
    <row r="4" spans="1:39" s="184" customFormat="1" x14ac:dyDescent="0.2">
      <c r="B4" s="45" t="s">
        <v>777</v>
      </c>
      <c r="C4" s="49">
        <v>2</v>
      </c>
      <c r="D4" s="190">
        <v>2</v>
      </c>
      <c r="E4" s="190">
        <v>2</v>
      </c>
      <c r="F4" s="190">
        <v>2</v>
      </c>
      <c r="G4" s="190" t="s">
        <v>495</v>
      </c>
      <c r="H4" s="191">
        <v>1</v>
      </c>
      <c r="I4" s="192" t="str">
        <f t="shared" ref="I4:I6" si="0">IF(D4&lt;&gt;"",D4&amp;","&amp;E4&amp;","&amp;F4&amp;","&amp;G4&amp;","&amp;H4,"0,0,0,0,0")</f>
        <v>2,2,2,N/A,1</v>
      </c>
      <c r="J4" s="193" t="str">
        <f>IF(MAX(D4:H4)&gt;=5, "Requirements not met", "Requirements met")</f>
        <v>Requirements met</v>
      </c>
      <c r="K4" s="194" t="str">
        <f>IF(MAX(D4:H4)&gt;=5, "Not OK", "OK")</f>
        <v>OK</v>
      </c>
    </row>
    <row r="5" spans="1:39" s="184" customFormat="1" ht="25.5" x14ac:dyDescent="0.2">
      <c r="B5" s="45" t="s">
        <v>776</v>
      </c>
      <c r="C5" s="49" t="s">
        <v>751</v>
      </c>
      <c r="D5" s="190">
        <v>3</v>
      </c>
      <c r="E5" s="190">
        <v>2</v>
      </c>
      <c r="F5" s="190">
        <v>3</v>
      </c>
      <c r="G5" s="190" t="s">
        <v>495</v>
      </c>
      <c r="H5" s="191">
        <v>1</v>
      </c>
      <c r="I5" s="192" t="str">
        <f t="shared" si="0"/>
        <v>3,2,3,N/A,1</v>
      </c>
      <c r="J5" s="193" t="str">
        <f>IF(MAX(D5:H5)&gt;=5, "Requirements not met", "Requirements met")</f>
        <v>Requirements met</v>
      </c>
      <c r="K5" s="194" t="str">
        <f>IF(MAX(D5:H5)&gt;=5, "Not OK", "OK")</f>
        <v>OK</v>
      </c>
    </row>
    <row r="6" spans="1:39" s="184" customFormat="1" x14ac:dyDescent="0.2">
      <c r="B6" s="45"/>
      <c r="C6" s="49"/>
      <c r="D6" s="190"/>
      <c r="E6" s="190"/>
      <c r="F6" s="190"/>
      <c r="G6" s="190"/>
      <c r="H6" s="191"/>
      <c r="I6" s="192" t="str">
        <f t="shared" si="0"/>
        <v>0,0,0,0,0</v>
      </c>
      <c r="J6" s="193" t="str">
        <f>IF(MAX(D6:H6)&gt;=5, "Requirements not met", "Requirements met")</f>
        <v>Requirements met</v>
      </c>
      <c r="K6" s="194" t="str">
        <f>IF(MAX(D6:H6)&gt;=5, "Not OK", "OK")</f>
        <v>OK</v>
      </c>
    </row>
    <row r="7" spans="1:39" s="184" customFormat="1" x14ac:dyDescent="0.2">
      <c r="B7" s="327"/>
      <c r="C7" s="195"/>
      <c r="D7" s="190"/>
      <c r="E7" s="190"/>
      <c r="F7" s="190"/>
      <c r="G7" s="190"/>
      <c r="H7" s="191"/>
      <c r="I7" s="192" t="str">
        <f>IF(D7&lt;&gt;"",D7&amp;","&amp;E7&amp;","&amp;F7&amp;","&amp;G7&amp;","&amp;H7,"0,0,0,0,0")</f>
        <v>0,0,0,0,0</v>
      </c>
      <c r="J7" s="193" t="str">
        <f>IF(MAX(D7:H7)&gt;=5, "Requirements not met", "Requirements met")</f>
        <v>Requirements met</v>
      </c>
      <c r="K7" s="194" t="str">
        <f>IF(MAX(D7:H7)&gt;=5, "Not OK", "OK")</f>
        <v>OK</v>
      </c>
    </row>
    <row r="8" spans="1:39" s="184" customFormat="1" ht="12.75" customHeight="1" x14ac:dyDescent="0.2">
      <c r="B8" s="196" t="s">
        <v>75</v>
      </c>
      <c r="C8" s="197"/>
      <c r="D8" s="197"/>
      <c r="E8" s="197"/>
      <c r="F8" s="197"/>
      <c r="G8" s="197"/>
      <c r="H8" s="197"/>
      <c r="I8" s="198" t="str">
        <f>MAX(D4:D7)&amp;","&amp;MAX(E4:E7)&amp;","&amp;MAX(F4:F7)&amp;","&amp;MAX(G4:G7)&amp;","&amp;MAX(H4:H7)</f>
        <v>3,2,3,0,1</v>
      </c>
      <c r="J8" s="401"/>
      <c r="K8" s="401"/>
    </row>
    <row r="9" spans="1:39" ht="20.25" x14ac:dyDescent="0.3">
      <c r="B9" s="11"/>
      <c r="C9" s="11"/>
      <c r="D9" s="11"/>
      <c r="E9" s="11"/>
      <c r="F9" s="11"/>
      <c r="G9" s="11"/>
      <c r="H9" s="11"/>
      <c r="I9" s="7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5" t="s">
        <v>171</v>
      </c>
      <c r="C10" s="11"/>
      <c r="D10" s="11"/>
      <c r="E10" s="11"/>
      <c r="F10" s="11"/>
      <c r="G10" s="11"/>
      <c r="H10" s="7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0" customFormat="1" ht="13.5" thickBot="1" x14ac:dyDescent="0.25">
      <c r="A11" s="199" t="s">
        <v>172</v>
      </c>
    </row>
    <row r="12" spans="1:39" ht="17.25" customHeight="1" thickBot="1" x14ac:dyDescent="0.25">
      <c r="B12" s="402" t="s">
        <v>173</v>
      </c>
      <c r="C12" s="404" t="s">
        <v>174</v>
      </c>
      <c r="D12" s="405"/>
      <c r="E12" s="405"/>
      <c r="F12" s="405"/>
      <c r="G12" s="406"/>
    </row>
    <row r="13" spans="1:39" ht="13.5" thickBot="1" x14ac:dyDescent="0.25">
      <c r="B13" s="403"/>
      <c r="C13" s="201">
        <v>1</v>
      </c>
      <c r="D13" s="201">
        <v>2</v>
      </c>
      <c r="E13" s="201">
        <v>3</v>
      </c>
      <c r="F13" s="201">
        <v>4</v>
      </c>
      <c r="G13" s="201">
        <v>5</v>
      </c>
    </row>
    <row r="14" spans="1:39" ht="72.75" thickBot="1" x14ac:dyDescent="0.25">
      <c r="B14" s="407" t="s">
        <v>175</v>
      </c>
      <c r="C14" s="202" t="s">
        <v>176</v>
      </c>
      <c r="D14" s="202" t="s">
        <v>177</v>
      </c>
      <c r="E14" s="202" t="s">
        <v>178</v>
      </c>
      <c r="F14" s="202" t="s">
        <v>179</v>
      </c>
      <c r="G14" s="202" t="s">
        <v>180</v>
      </c>
    </row>
    <row r="15" spans="1:39" ht="24" customHeight="1" thickBot="1" x14ac:dyDescent="0.25">
      <c r="B15" s="408"/>
      <c r="C15" s="410" t="s">
        <v>181</v>
      </c>
      <c r="D15" s="411"/>
      <c r="E15" s="410" t="s">
        <v>182</v>
      </c>
      <c r="F15" s="412"/>
      <c r="G15" s="411"/>
    </row>
    <row r="16" spans="1:39" ht="36.75" thickBot="1" x14ac:dyDescent="0.25">
      <c r="B16" s="409"/>
      <c r="C16" s="203" t="s">
        <v>183</v>
      </c>
      <c r="D16" s="413" t="s">
        <v>184</v>
      </c>
      <c r="E16" s="414"/>
      <c r="F16" s="415" t="s">
        <v>185</v>
      </c>
      <c r="G16" s="416"/>
    </row>
    <row r="17" spans="1:18" ht="60.75" thickBot="1" x14ac:dyDescent="0.25">
      <c r="B17" s="204" t="s">
        <v>88</v>
      </c>
      <c r="C17" s="202" t="s">
        <v>186</v>
      </c>
      <c r="D17" s="202" t="s">
        <v>187</v>
      </c>
      <c r="E17" s="202" t="s">
        <v>188</v>
      </c>
      <c r="F17" s="202" t="s">
        <v>189</v>
      </c>
      <c r="G17" s="202" t="s">
        <v>190</v>
      </c>
    </row>
    <row r="18" spans="1:18" ht="44.25" customHeight="1" thickBot="1" x14ac:dyDescent="0.25">
      <c r="B18" s="204" t="s">
        <v>166</v>
      </c>
      <c r="C18" s="202" t="s">
        <v>191</v>
      </c>
      <c r="D18" s="202" t="s">
        <v>192</v>
      </c>
      <c r="E18" s="202" t="s">
        <v>193</v>
      </c>
      <c r="F18" s="202" t="s">
        <v>194</v>
      </c>
      <c r="G18" s="202" t="s">
        <v>195</v>
      </c>
    </row>
    <row r="19" spans="1:18" ht="44.25" customHeight="1" thickBot="1" x14ac:dyDescent="0.25">
      <c r="B19" s="204" t="s">
        <v>167</v>
      </c>
      <c r="C19" s="202" t="s">
        <v>196</v>
      </c>
      <c r="D19" s="202" t="s">
        <v>197</v>
      </c>
      <c r="E19" s="202" t="s">
        <v>198</v>
      </c>
      <c r="F19" s="202" t="s">
        <v>199</v>
      </c>
      <c r="G19" s="202" t="s">
        <v>200</v>
      </c>
    </row>
    <row r="20" spans="1:18" ht="44.25" customHeight="1" thickBot="1" x14ac:dyDescent="0.25">
      <c r="B20" s="204" t="s">
        <v>201</v>
      </c>
      <c r="C20" s="202" t="s">
        <v>202</v>
      </c>
      <c r="D20" s="410" t="s">
        <v>203</v>
      </c>
      <c r="E20" s="411"/>
      <c r="F20" s="202" t="s">
        <v>204</v>
      </c>
      <c r="G20" s="202" t="s">
        <v>205</v>
      </c>
    </row>
    <row r="21" spans="1:18" x14ac:dyDescent="0.2">
      <c r="B21" s="205"/>
      <c r="C21" s="206"/>
      <c r="D21" s="206"/>
      <c r="E21" s="206"/>
      <c r="F21" s="206"/>
      <c r="G21" s="206"/>
    </row>
    <row r="22" spans="1:18" customFormat="1" ht="15" x14ac:dyDescent="0.25">
      <c r="A22" s="207" t="s">
        <v>206</v>
      </c>
      <c r="C22" s="208"/>
      <c r="D22" s="208"/>
      <c r="E22" s="208"/>
      <c r="F22" s="208"/>
      <c r="G22" s="208"/>
      <c r="H22" s="208"/>
      <c r="I22" s="208"/>
      <c r="J22" s="208"/>
      <c r="K22" s="208"/>
      <c r="L22" s="208"/>
      <c r="M22" s="208"/>
      <c r="N22" s="208"/>
      <c r="O22" s="208"/>
      <c r="P22" s="208"/>
      <c r="Q22" s="208"/>
      <c r="R22" s="208"/>
    </row>
    <row r="23" spans="1:18" customFormat="1" ht="15" x14ac:dyDescent="0.25">
      <c r="B23" s="209" t="s">
        <v>207</v>
      </c>
      <c r="C23" s="210"/>
      <c r="D23" s="210"/>
      <c r="E23" s="210"/>
      <c r="F23" s="210"/>
      <c r="G23" s="210"/>
      <c r="H23" s="211"/>
      <c r="I23" s="208"/>
      <c r="J23" s="208"/>
      <c r="K23" s="208"/>
      <c r="L23" s="208"/>
      <c r="M23" s="208"/>
      <c r="N23" s="208"/>
      <c r="O23" s="208"/>
      <c r="P23" s="208"/>
      <c r="Q23" s="208"/>
      <c r="R23" s="208"/>
    </row>
    <row r="24" spans="1:18" customFormat="1" ht="65.25" customHeight="1" x14ac:dyDescent="0.25">
      <c r="B24" s="212"/>
      <c r="C24" s="398" t="s">
        <v>208</v>
      </c>
      <c r="D24" s="399"/>
      <c r="E24" s="399"/>
      <c r="F24" s="399"/>
      <c r="G24" s="399"/>
      <c r="H24" s="400"/>
      <c r="N24" s="213"/>
      <c r="O24" s="213"/>
      <c r="P24" s="213"/>
      <c r="Q24" s="213"/>
      <c r="R24" s="213"/>
    </row>
    <row r="25" spans="1:18" customFormat="1" ht="15" x14ac:dyDescent="0.25">
      <c r="B25" s="212"/>
      <c r="C25" s="214" t="s">
        <v>209</v>
      </c>
      <c r="D25" s="215"/>
      <c r="E25" s="215"/>
      <c r="F25" s="215"/>
      <c r="G25" s="215"/>
      <c r="H25" s="216"/>
      <c r="I25" s="208"/>
      <c r="J25" s="208"/>
      <c r="K25" s="208"/>
      <c r="L25" s="208"/>
      <c r="M25" s="208"/>
      <c r="N25" s="208"/>
      <c r="O25" s="208"/>
      <c r="P25" s="208"/>
      <c r="Q25" s="208"/>
      <c r="R25" s="208"/>
    </row>
    <row r="26" spans="1:18" customFormat="1" ht="15" x14ac:dyDescent="0.25">
      <c r="B26" s="212"/>
      <c r="C26" s="217" t="s">
        <v>210</v>
      </c>
      <c r="D26" s="218"/>
      <c r="E26" s="218"/>
      <c r="F26" s="218"/>
      <c r="G26" s="218"/>
      <c r="H26" s="219"/>
      <c r="I26" s="208"/>
      <c r="J26" s="208"/>
      <c r="K26" s="208"/>
      <c r="L26" s="208"/>
      <c r="M26" s="208"/>
      <c r="N26" s="208"/>
      <c r="O26" s="208"/>
      <c r="P26" s="208"/>
      <c r="Q26" s="208"/>
      <c r="R26" s="208"/>
    </row>
    <row r="27" spans="1:18" customFormat="1" ht="15" x14ac:dyDescent="0.25">
      <c r="B27" s="212"/>
      <c r="C27" s="217" t="s">
        <v>211</v>
      </c>
      <c r="D27" s="218"/>
      <c r="E27" s="218"/>
      <c r="F27" s="218"/>
      <c r="G27" s="218"/>
      <c r="H27" s="219"/>
      <c r="I27" s="208"/>
      <c r="J27" s="208"/>
      <c r="K27" s="208"/>
      <c r="L27" s="208"/>
      <c r="M27" s="208"/>
      <c r="N27" s="208"/>
      <c r="O27" s="208"/>
      <c r="P27" s="208"/>
      <c r="Q27" s="208"/>
      <c r="R27" s="208"/>
    </row>
    <row r="28" spans="1:18" customFormat="1" ht="15" x14ac:dyDescent="0.25">
      <c r="B28" s="212"/>
      <c r="C28" s="217" t="s">
        <v>212</v>
      </c>
      <c r="D28" s="218"/>
      <c r="E28" s="218"/>
      <c r="F28" s="218"/>
      <c r="G28" s="218"/>
      <c r="H28" s="219"/>
      <c r="I28" s="208"/>
      <c r="J28" s="208"/>
      <c r="K28" s="208"/>
      <c r="L28" s="208"/>
      <c r="M28" s="208"/>
      <c r="N28" s="208"/>
      <c r="O28" s="208"/>
      <c r="P28" s="208"/>
      <c r="Q28" s="208"/>
      <c r="R28" s="208"/>
    </row>
    <row r="29" spans="1:18" customFormat="1" ht="15" x14ac:dyDescent="0.25">
      <c r="B29" s="212"/>
      <c r="C29" s="217" t="s">
        <v>213</v>
      </c>
      <c r="D29" s="218"/>
      <c r="E29" s="218"/>
      <c r="F29" s="218"/>
      <c r="G29" s="218"/>
      <c r="H29" s="219"/>
      <c r="I29" s="208"/>
      <c r="J29" s="208"/>
      <c r="K29" s="208"/>
      <c r="L29" s="208"/>
      <c r="M29" s="208"/>
      <c r="N29" s="208"/>
      <c r="O29" s="208"/>
      <c r="P29" s="208"/>
      <c r="Q29" s="208"/>
      <c r="R29" s="208"/>
    </row>
    <row r="30" spans="1:18" customFormat="1" ht="41.25" customHeight="1" x14ac:dyDescent="0.25">
      <c r="B30" s="212"/>
      <c r="C30" s="417" t="s">
        <v>214</v>
      </c>
      <c r="D30" s="418"/>
      <c r="E30" s="418"/>
      <c r="F30" s="418"/>
      <c r="G30" s="418"/>
      <c r="H30" s="419"/>
      <c r="N30" s="220"/>
      <c r="O30" s="220"/>
      <c r="P30" s="220"/>
      <c r="Q30" s="208"/>
      <c r="R30" s="208"/>
    </row>
    <row r="31" spans="1:18" customFormat="1" ht="38.25" customHeight="1" x14ac:dyDescent="0.25">
      <c r="B31" s="221"/>
      <c r="C31" s="398" t="s">
        <v>215</v>
      </c>
      <c r="D31" s="399"/>
      <c r="E31" s="399"/>
      <c r="F31" s="399"/>
      <c r="G31" s="399"/>
      <c r="H31" s="400"/>
      <c r="N31" s="213"/>
      <c r="O31" s="213"/>
      <c r="P31" s="213"/>
      <c r="Q31" s="213"/>
      <c r="R31" s="208"/>
    </row>
    <row r="32" spans="1:18" customFormat="1" ht="43.5" customHeight="1" x14ac:dyDescent="0.25">
      <c r="B32" s="398" t="s">
        <v>216</v>
      </c>
      <c r="C32" s="399"/>
      <c r="D32" s="399"/>
      <c r="E32" s="399"/>
      <c r="F32" s="399"/>
      <c r="G32" s="399"/>
      <c r="H32" s="400"/>
      <c r="I32" s="208"/>
      <c r="J32" s="208"/>
      <c r="K32" s="208"/>
      <c r="L32" s="208"/>
      <c r="M32" s="208"/>
      <c r="N32" s="208"/>
      <c r="O32" s="208"/>
      <c r="P32" s="208"/>
      <c r="Q32" s="208"/>
      <c r="R32" s="208"/>
    </row>
    <row r="33" spans="1:9" customFormat="1" ht="49.5" customHeight="1" x14ac:dyDescent="0.25">
      <c r="B33" s="398" t="s">
        <v>217</v>
      </c>
      <c r="C33" s="399"/>
      <c r="D33" s="399"/>
      <c r="E33" s="399"/>
      <c r="F33" s="399"/>
      <c r="G33" s="399"/>
      <c r="H33" s="400"/>
      <c r="I33" s="222"/>
    </row>
    <row r="34" spans="1:9" customFormat="1" ht="46.5" customHeight="1" x14ac:dyDescent="0.25">
      <c r="B34" s="398" t="s">
        <v>218</v>
      </c>
      <c r="C34" s="399"/>
      <c r="D34" s="399"/>
      <c r="E34" s="399"/>
      <c r="F34" s="399"/>
      <c r="G34" s="399"/>
      <c r="H34" s="400"/>
      <c r="I34" s="222"/>
    </row>
    <row r="35" spans="1:9" customFormat="1" ht="30" customHeight="1" x14ac:dyDescent="0.25">
      <c r="B35" s="398" t="s">
        <v>219</v>
      </c>
      <c r="C35" s="399"/>
      <c r="D35" s="399"/>
      <c r="E35" s="399"/>
      <c r="F35" s="399"/>
      <c r="G35" s="399"/>
      <c r="H35" s="400"/>
      <c r="I35" s="222"/>
    </row>
    <row r="36" spans="1:9" customFormat="1" ht="15" customHeight="1" x14ac:dyDescent="0.25">
      <c r="A36" s="223" t="s">
        <v>220</v>
      </c>
      <c r="B36" s="223"/>
      <c r="I36" s="224"/>
    </row>
    <row r="37" spans="1:9" customFormat="1" ht="30" customHeight="1" x14ac:dyDescent="0.25">
      <c r="B37" s="421" t="s">
        <v>221</v>
      </c>
      <c r="C37" s="422"/>
      <c r="D37" s="422"/>
      <c r="E37" s="422"/>
      <c r="F37" s="422"/>
      <c r="G37" s="422"/>
      <c r="H37" s="423"/>
    </row>
    <row r="38" spans="1:9" customFormat="1" ht="12.75" customHeight="1" x14ac:dyDescent="0.25">
      <c r="B38" s="424" t="s">
        <v>222</v>
      </c>
      <c r="C38" s="425"/>
      <c r="D38" s="425"/>
      <c r="E38" s="425"/>
      <c r="F38" s="425"/>
      <c r="G38" s="225"/>
      <c r="H38" s="226"/>
    </row>
    <row r="39" spans="1:9" customFormat="1" ht="29.25" customHeight="1" x14ac:dyDescent="0.25">
      <c r="B39" s="426" t="s">
        <v>223</v>
      </c>
      <c r="C39" s="427"/>
      <c r="D39" s="427"/>
      <c r="E39" s="427"/>
      <c r="F39" s="427"/>
      <c r="G39" s="427"/>
      <c r="H39" s="428"/>
    </row>
    <row r="40" spans="1:9" customFormat="1" ht="15" customHeight="1" x14ac:dyDescent="0.25">
      <c r="B40" s="227" t="s">
        <v>224</v>
      </c>
      <c r="C40" s="225"/>
      <c r="D40" s="225"/>
      <c r="E40" s="225"/>
      <c r="F40" s="225"/>
      <c r="G40" s="225"/>
      <c r="H40" s="226"/>
    </row>
    <row r="41" spans="1:9" customFormat="1" ht="30.75" customHeight="1" x14ac:dyDescent="0.25">
      <c r="B41" s="426" t="s">
        <v>225</v>
      </c>
      <c r="C41" s="427"/>
      <c r="D41" s="427"/>
      <c r="E41" s="427"/>
      <c r="F41" s="427"/>
      <c r="G41" s="427"/>
      <c r="H41" s="428"/>
    </row>
    <row r="42" spans="1:9" customFormat="1" ht="12.75" customHeight="1" x14ac:dyDescent="0.25">
      <c r="B42" s="429" t="s">
        <v>226</v>
      </c>
      <c r="C42" s="430"/>
      <c r="D42" s="430"/>
      <c r="E42" s="430"/>
      <c r="F42" s="430"/>
      <c r="G42" s="430"/>
      <c r="H42" s="226"/>
    </row>
    <row r="43" spans="1:9" customFormat="1" ht="35.25" customHeight="1" x14ac:dyDescent="0.25">
      <c r="B43" s="426" t="s">
        <v>227</v>
      </c>
      <c r="C43" s="427"/>
      <c r="D43" s="427"/>
      <c r="E43" s="427"/>
      <c r="F43" s="427"/>
      <c r="G43" s="427"/>
      <c r="H43" s="428"/>
    </row>
    <row r="44" spans="1:9" customFormat="1" ht="24.75" customHeight="1" x14ac:dyDescent="0.25">
      <c r="B44" s="431" t="s">
        <v>228</v>
      </c>
      <c r="C44" s="432"/>
      <c r="D44" s="432"/>
      <c r="E44" s="432"/>
      <c r="F44" s="432"/>
      <c r="G44" s="432"/>
      <c r="H44" s="433"/>
    </row>
    <row r="45" spans="1:9" customFormat="1" ht="27.75" customHeight="1" x14ac:dyDescent="0.25">
      <c r="B45" s="417" t="s">
        <v>229</v>
      </c>
      <c r="C45" s="418"/>
      <c r="D45" s="418"/>
      <c r="E45" s="418"/>
      <c r="F45" s="418"/>
      <c r="G45" s="418"/>
      <c r="H45" s="419"/>
    </row>
    <row r="46" spans="1:9" customFormat="1" ht="21" customHeight="1" x14ac:dyDescent="0.25">
      <c r="B46" s="398" t="s">
        <v>230</v>
      </c>
      <c r="C46" s="399"/>
      <c r="D46" s="399"/>
      <c r="E46" s="399"/>
      <c r="F46" s="399"/>
      <c r="G46" s="399"/>
      <c r="H46" s="400"/>
    </row>
    <row r="47" spans="1:9" customFormat="1" ht="26.25" customHeight="1" x14ac:dyDescent="0.25">
      <c r="B47" s="420" t="s">
        <v>231</v>
      </c>
      <c r="C47" s="420"/>
      <c r="D47" s="420"/>
      <c r="E47" s="420"/>
      <c r="F47" s="420"/>
      <c r="G47" s="420"/>
      <c r="H47" s="420"/>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5" priority="5">
      <formula>MAX(D4:H4)&gt;=5</formula>
    </cfRule>
  </conditionalFormatting>
  <conditionalFormatting sqref="J5:K5">
    <cfRule type="expression" dxfId="4" priority="4">
      <formula>MAX(D5:H5)&gt;=5</formula>
    </cfRule>
  </conditionalFormatting>
  <conditionalFormatting sqref="J6:K6">
    <cfRule type="expression" dxfId="3" priority="3">
      <formula>MAX(D6:H6)&gt;=5</formula>
    </cfRule>
  </conditionalFormatting>
  <conditionalFormatting sqref="J7:K7">
    <cfRule type="expression" dxfId="2" priority="2">
      <formula>MAX(D7:H7)&gt;=5</formula>
    </cfRule>
  </conditionalFormatting>
  <conditionalFormatting sqref="I8">
    <cfRule type="expression" dxfId="1"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51"/>
  <sheetViews>
    <sheetView topLeftCell="A7" workbookViewId="0"/>
  </sheetViews>
  <sheetFormatPr defaultRowHeight="15" x14ac:dyDescent="0.25"/>
  <cols>
    <col min="1" max="1" width="17.28515625" customWidth="1"/>
    <col min="2" max="2" width="12" customWidth="1"/>
    <col min="5" max="5" width="10.5703125" customWidth="1"/>
  </cols>
  <sheetData>
    <row r="1" spans="1:26" x14ac:dyDescent="0.25">
      <c r="A1" s="294" t="s">
        <v>559</v>
      </c>
    </row>
    <row r="3" spans="1:26" s="259" customFormat="1" ht="45" x14ac:dyDescent="0.25">
      <c r="A3" s="259" t="s">
        <v>240</v>
      </c>
      <c r="B3" s="259" t="s">
        <v>241</v>
      </c>
      <c r="C3" s="259" t="s">
        <v>242</v>
      </c>
      <c r="D3" s="259" t="s">
        <v>243</v>
      </c>
      <c r="E3" s="259" t="s">
        <v>244</v>
      </c>
      <c r="F3" s="259" t="s">
        <v>245</v>
      </c>
      <c r="G3" s="259" t="s">
        <v>246</v>
      </c>
      <c r="H3" s="259" t="s">
        <v>247</v>
      </c>
      <c r="K3" s="259" t="s">
        <v>248</v>
      </c>
      <c r="L3" s="259" t="s">
        <v>249</v>
      </c>
    </row>
    <row r="4" spans="1:26" x14ac:dyDescent="0.25">
      <c r="A4">
        <v>4</v>
      </c>
      <c r="B4" s="286">
        <v>1</v>
      </c>
      <c r="C4">
        <v>0</v>
      </c>
      <c r="E4">
        <f>C4*$B$35</f>
        <v>0</v>
      </c>
      <c r="F4">
        <f>C4*$F$35</f>
        <v>0</v>
      </c>
      <c r="G4">
        <f>C4*$I$35</f>
        <v>0</v>
      </c>
      <c r="H4">
        <f>G4-F4</f>
        <v>0</v>
      </c>
      <c r="I4">
        <f t="shared" ref="I4:I13" si="0">F4+H4</f>
        <v>0</v>
      </c>
      <c r="X4">
        <v>500</v>
      </c>
      <c r="Z4" t="s">
        <v>559</v>
      </c>
    </row>
    <row r="5" spans="1:26" x14ac:dyDescent="0.25">
      <c r="A5">
        <v>16</v>
      </c>
      <c r="B5">
        <v>5.2</v>
      </c>
      <c r="C5">
        <v>4</v>
      </c>
      <c r="D5">
        <f>1/3</f>
        <v>0.33333333333333331</v>
      </c>
      <c r="E5">
        <f>C5*$B$35</f>
        <v>4.1113066313653954E-2</v>
      </c>
      <c r="F5">
        <f>C5*$F$35</f>
        <v>3.5327970473499878E-2</v>
      </c>
      <c r="G5">
        <f>C5*$I$35</f>
        <v>4.6898162153808029E-2</v>
      </c>
      <c r="H5">
        <f>G5-F5</f>
        <v>1.1570191680308151E-2</v>
      </c>
      <c r="I5">
        <f t="shared" si="0"/>
        <v>4.6898162153808029E-2</v>
      </c>
      <c r="K5">
        <f>C5*CONVERT(1,"gal","l")/CONVERT(1,"mn","sec")</f>
        <v>0.25236078559999997</v>
      </c>
      <c r="L5">
        <f>D5*CONVERT(1,"HP","kW")</f>
        <v>0.24856662386075673</v>
      </c>
    </row>
    <row r="6" spans="1:26" x14ac:dyDescent="0.25">
      <c r="A6">
        <v>36</v>
      </c>
      <c r="B6">
        <v>12.7</v>
      </c>
      <c r="C6">
        <v>16</v>
      </c>
      <c r="D6">
        <f>3/4</f>
        <v>0.75</v>
      </c>
      <c r="E6">
        <f t="shared" ref="E6:E15" si="1">C6*$B$35</f>
        <v>0.16445226525461581</v>
      </c>
      <c r="F6">
        <f t="shared" ref="F6:F15" si="2">C6*$F$35</f>
        <v>0.14131188189399951</v>
      </c>
      <c r="G6">
        <f t="shared" ref="G6:G15" si="3">C6*$I$35</f>
        <v>0.18759264861523212</v>
      </c>
      <c r="H6">
        <f t="shared" ref="H6:H15" si="4">G6-F6</f>
        <v>4.6280766721232602E-2</v>
      </c>
      <c r="I6">
        <f t="shared" si="0"/>
        <v>0.18759264861523212</v>
      </c>
      <c r="K6">
        <f t="shared" ref="K6:K16" si="5">C6*CONVERT(1,"gal","l")/CONVERT(1,"mn","sec")</f>
        <v>1.0094431423999999</v>
      </c>
      <c r="L6">
        <f t="shared" ref="L6:L16" si="6">D6*CONVERT(1,"HP","kW")</f>
        <v>0.55927490368670263</v>
      </c>
    </row>
    <row r="7" spans="1:26" x14ac:dyDescent="0.25">
      <c r="A7">
        <v>64</v>
      </c>
      <c r="B7">
        <v>16</v>
      </c>
      <c r="C7">
        <v>36</v>
      </c>
      <c r="D7">
        <v>1</v>
      </c>
      <c r="E7">
        <f t="shared" si="1"/>
        <v>0.3700175968228856</v>
      </c>
      <c r="F7">
        <f t="shared" si="2"/>
        <v>0.31795173426149892</v>
      </c>
      <c r="G7">
        <f t="shared" si="3"/>
        <v>0.42208345938427227</v>
      </c>
      <c r="H7">
        <f t="shared" si="4"/>
        <v>0.10413172512277336</v>
      </c>
      <c r="I7">
        <f t="shared" si="0"/>
        <v>0.42208345938427227</v>
      </c>
      <c r="K7">
        <f t="shared" si="5"/>
        <v>2.2712470703999998</v>
      </c>
      <c r="L7">
        <f t="shared" si="6"/>
        <v>0.74569987158227025</v>
      </c>
    </row>
    <row r="8" spans="1:26" x14ac:dyDescent="0.25">
      <c r="A8">
        <v>100</v>
      </c>
      <c r="B8">
        <v>30</v>
      </c>
      <c r="C8">
        <v>64</v>
      </c>
      <c r="D8">
        <v>1</v>
      </c>
      <c r="E8">
        <f t="shared" si="1"/>
        <v>0.65780906101846326</v>
      </c>
      <c r="F8">
        <f t="shared" si="2"/>
        <v>0.56524752757599805</v>
      </c>
      <c r="G8">
        <f t="shared" si="3"/>
        <v>0.75037059446092846</v>
      </c>
      <c r="H8">
        <f t="shared" si="4"/>
        <v>0.18512306688493041</v>
      </c>
      <c r="I8">
        <f t="shared" si="0"/>
        <v>0.75037059446092846</v>
      </c>
      <c r="K8">
        <f t="shared" si="5"/>
        <v>4.0377725695999995</v>
      </c>
      <c r="L8">
        <f t="shared" si="6"/>
        <v>0.74569987158227025</v>
      </c>
    </row>
    <row r="9" spans="1:26" x14ac:dyDescent="0.25">
      <c r="A9">
        <v>144</v>
      </c>
      <c r="B9">
        <v>38</v>
      </c>
      <c r="C9">
        <v>100</v>
      </c>
      <c r="D9">
        <v>1.5</v>
      </c>
      <c r="E9">
        <f t="shared" si="1"/>
        <v>1.0278266578413489</v>
      </c>
      <c r="F9">
        <f t="shared" si="2"/>
        <v>0.88319926183749697</v>
      </c>
      <c r="G9">
        <f t="shared" si="3"/>
        <v>1.1724540538452006</v>
      </c>
      <c r="H9">
        <f t="shared" si="4"/>
        <v>0.28925479200770365</v>
      </c>
      <c r="I9">
        <f t="shared" si="0"/>
        <v>1.1724540538452006</v>
      </c>
      <c r="K9">
        <f t="shared" si="5"/>
        <v>6.3090196399999998</v>
      </c>
      <c r="L9">
        <f t="shared" si="6"/>
        <v>1.1185498073734053</v>
      </c>
    </row>
    <row r="10" spans="1:26" x14ac:dyDescent="0.25">
      <c r="A10">
        <v>210</v>
      </c>
      <c r="B10">
        <v>55</v>
      </c>
      <c r="C10">
        <v>144</v>
      </c>
      <c r="D10">
        <v>1.5</v>
      </c>
      <c r="E10">
        <f t="shared" si="1"/>
        <v>1.4800703872915424</v>
      </c>
      <c r="F10">
        <f t="shared" si="2"/>
        <v>1.2718069370459957</v>
      </c>
      <c r="G10">
        <f t="shared" si="3"/>
        <v>1.6883338375370891</v>
      </c>
      <c r="H10">
        <f t="shared" si="4"/>
        <v>0.41652690049109342</v>
      </c>
      <c r="I10">
        <f t="shared" si="0"/>
        <v>1.6883338375370891</v>
      </c>
      <c r="K10">
        <f t="shared" si="5"/>
        <v>9.0849882815999994</v>
      </c>
      <c r="L10">
        <f t="shared" si="6"/>
        <v>1.1185498073734053</v>
      </c>
    </row>
    <row r="11" spans="1:26" x14ac:dyDescent="0.25">
      <c r="A11">
        <v>288</v>
      </c>
      <c r="B11">
        <v>78</v>
      </c>
      <c r="C11">
        <v>210</v>
      </c>
      <c r="D11">
        <v>2</v>
      </c>
      <c r="E11">
        <f t="shared" si="1"/>
        <v>2.1584359814668326</v>
      </c>
      <c r="F11">
        <f t="shared" si="2"/>
        <v>1.8547184498587437</v>
      </c>
      <c r="G11">
        <f t="shared" si="3"/>
        <v>2.4621535130749215</v>
      </c>
      <c r="H11">
        <f t="shared" si="4"/>
        <v>0.6074350632161778</v>
      </c>
      <c r="I11">
        <f t="shared" si="0"/>
        <v>2.4621535130749215</v>
      </c>
      <c r="K11">
        <f t="shared" si="5"/>
        <v>13.248941244000001</v>
      </c>
      <c r="L11">
        <f t="shared" si="6"/>
        <v>1.4913997431645405</v>
      </c>
    </row>
    <row r="12" spans="1:26" x14ac:dyDescent="0.25">
      <c r="A12">
        <v>360</v>
      </c>
      <c r="B12">
        <v>99</v>
      </c>
      <c r="C12">
        <v>288</v>
      </c>
      <c r="D12">
        <v>3</v>
      </c>
      <c r="E12">
        <f t="shared" si="1"/>
        <v>2.9601407745830848</v>
      </c>
      <c r="F12">
        <f t="shared" si="2"/>
        <v>2.5436138740919914</v>
      </c>
      <c r="G12">
        <f t="shared" si="3"/>
        <v>3.3766676750741782</v>
      </c>
      <c r="H12">
        <f t="shared" si="4"/>
        <v>0.83305380098218684</v>
      </c>
      <c r="I12">
        <f t="shared" si="0"/>
        <v>3.3766676750741782</v>
      </c>
      <c r="K12">
        <f t="shared" si="5"/>
        <v>18.169976563199999</v>
      </c>
      <c r="L12">
        <f t="shared" si="6"/>
        <v>2.2370996147468105</v>
      </c>
    </row>
    <row r="13" spans="1:26" x14ac:dyDescent="0.25">
      <c r="A13">
        <v>450</v>
      </c>
      <c r="B13">
        <v>128</v>
      </c>
      <c r="C13">
        <v>360</v>
      </c>
      <c r="D13">
        <v>3</v>
      </c>
      <c r="E13">
        <f t="shared" si="1"/>
        <v>3.700175968228856</v>
      </c>
      <c r="F13">
        <f t="shared" si="2"/>
        <v>3.179517342614989</v>
      </c>
      <c r="G13">
        <f t="shared" si="3"/>
        <v>4.2208345938427225</v>
      </c>
      <c r="H13">
        <f t="shared" si="4"/>
        <v>1.0413172512277336</v>
      </c>
      <c r="I13">
        <f t="shared" si="0"/>
        <v>4.2208345938427225</v>
      </c>
      <c r="K13">
        <f t="shared" si="5"/>
        <v>22.712470703999998</v>
      </c>
      <c r="L13">
        <f t="shared" si="6"/>
        <v>2.2370996147468105</v>
      </c>
    </row>
    <row r="14" spans="1:26" x14ac:dyDescent="0.25">
      <c r="C14">
        <v>450</v>
      </c>
      <c r="D14">
        <v>5</v>
      </c>
      <c r="E14">
        <f t="shared" si="1"/>
        <v>4.6252199602860697</v>
      </c>
      <c r="F14">
        <f t="shared" si="2"/>
        <v>3.9743966782687363</v>
      </c>
      <c r="G14">
        <f t="shared" si="3"/>
        <v>5.2760432423034036</v>
      </c>
      <c r="H14">
        <f t="shared" si="4"/>
        <v>1.3016465640346673</v>
      </c>
      <c r="I14">
        <f>F14+H14</f>
        <v>5.2760432423034036</v>
      </c>
      <c r="K14">
        <f t="shared" si="5"/>
        <v>28.390588380000001</v>
      </c>
      <c r="L14">
        <f t="shared" si="6"/>
        <v>3.7284993579113515</v>
      </c>
    </row>
    <row r="15" spans="1:26" x14ac:dyDescent="0.25">
      <c r="C15">
        <v>500</v>
      </c>
      <c r="E15">
        <f t="shared" si="1"/>
        <v>5.1391332892067441</v>
      </c>
      <c r="F15">
        <f t="shared" si="2"/>
        <v>4.4159963091874852</v>
      </c>
      <c r="G15">
        <f t="shared" si="3"/>
        <v>5.8622702692260038</v>
      </c>
      <c r="H15">
        <f t="shared" si="4"/>
        <v>1.4462739600385186</v>
      </c>
      <c r="I15">
        <f>F15+H15</f>
        <v>5.8622702692260038</v>
      </c>
      <c r="K15">
        <f t="shared" si="5"/>
        <v>31.545098199999998</v>
      </c>
      <c r="L15">
        <f t="shared" si="6"/>
        <v>0</v>
      </c>
    </row>
    <row r="16" spans="1:26" x14ac:dyDescent="0.25">
      <c r="C16">
        <v>600</v>
      </c>
      <c r="E16">
        <f>C16*$B$35</f>
        <v>6.1669599470480927</v>
      </c>
      <c r="F16">
        <f>C16*$F$35</f>
        <v>5.2991955710249821</v>
      </c>
      <c r="G16">
        <f>C16*$I$35</f>
        <v>7.0347243230712042</v>
      </c>
      <c r="H16">
        <f>G16-F16</f>
        <v>1.7355287520462221</v>
      </c>
      <c r="K16">
        <f t="shared" si="5"/>
        <v>37.854117839999994</v>
      </c>
      <c r="L16">
        <f t="shared" si="6"/>
        <v>0</v>
      </c>
    </row>
    <row r="18" spans="1:12" x14ac:dyDescent="0.25">
      <c r="A18" t="s">
        <v>250</v>
      </c>
    </row>
    <row r="19" spans="1:12" ht="15.75" thickBot="1" x14ac:dyDescent="0.3">
      <c r="E19" s="261" t="s">
        <v>251</v>
      </c>
      <c r="F19" t="s">
        <v>252</v>
      </c>
      <c r="G19">
        <f>F35</f>
        <v>8.8319926183749696E-3</v>
      </c>
      <c r="H19" t="s">
        <v>253</v>
      </c>
      <c r="I19">
        <f>G19*CONVERT(1,"HP","kW")/(CONVERT(1,"gal","l")/CONVERT(1,"mn","sec"))</f>
        <v>0.1043904780321428</v>
      </c>
      <c r="J19" t="s">
        <v>254</v>
      </c>
      <c r="K19" s="260">
        <f>I19*CONVERT(1,"kJ","Wh")</f>
        <v>2.8997355008928555E-2</v>
      </c>
      <c r="L19" s="260" t="s">
        <v>255</v>
      </c>
    </row>
    <row r="20" spans="1:12" x14ac:dyDescent="0.25">
      <c r="A20" s="262" t="s">
        <v>256</v>
      </c>
      <c r="B20" s="262"/>
      <c r="F20" t="s">
        <v>257</v>
      </c>
      <c r="G20">
        <f>B35</f>
        <v>1.0278266578413488E-2</v>
      </c>
      <c r="H20" t="s">
        <v>253</v>
      </c>
      <c r="I20">
        <f t="shared" ref="I20:I21" si="7">G20*CONVERT(1,"HP","kW")/(CONVERT(1,"gal","l")/CONVERT(1,"mn","sec"))</f>
        <v>0.12148483449024862</v>
      </c>
      <c r="J20" t="s">
        <v>254</v>
      </c>
      <c r="K20" s="260">
        <f t="shared" ref="K20:K21" si="8">I20*CONVERT(1,"kJ","Wh")</f>
        <v>3.3745787358402397E-2</v>
      </c>
      <c r="L20" s="260" t="s">
        <v>255</v>
      </c>
    </row>
    <row r="21" spans="1:12" x14ac:dyDescent="0.25">
      <c r="A21" s="263" t="s">
        <v>258</v>
      </c>
      <c r="B21" s="263">
        <v>0.98303073287441889</v>
      </c>
      <c r="F21" t="s">
        <v>259</v>
      </c>
      <c r="G21">
        <f>I35</f>
        <v>1.1724540538452007E-2</v>
      </c>
      <c r="H21" t="s">
        <v>253</v>
      </c>
      <c r="I21">
        <f t="shared" si="7"/>
        <v>0.13857919094835444</v>
      </c>
      <c r="J21" t="s">
        <v>254</v>
      </c>
      <c r="K21" s="260">
        <f t="shared" si="8"/>
        <v>3.8494219707876233E-2</v>
      </c>
      <c r="L21" s="260" t="s">
        <v>255</v>
      </c>
    </row>
    <row r="22" spans="1:12" x14ac:dyDescent="0.25">
      <c r="A22" s="263" t="s">
        <v>260</v>
      </c>
      <c r="B22" s="263">
        <v>0.966349421775617</v>
      </c>
    </row>
    <row r="23" spans="1:12" x14ac:dyDescent="0.25">
      <c r="A23" s="263" t="s">
        <v>261</v>
      </c>
      <c r="B23" s="263">
        <v>0.85523831066450584</v>
      </c>
    </row>
    <row r="24" spans="1:12" x14ac:dyDescent="0.25">
      <c r="A24" s="263" t="s">
        <v>262</v>
      </c>
      <c r="B24" s="263">
        <v>0.45005843304468651</v>
      </c>
    </row>
    <row r="25" spans="1:12" ht="15.75" thickBot="1" x14ac:dyDescent="0.3">
      <c r="A25" s="264" t="s">
        <v>263</v>
      </c>
      <c r="B25" s="264">
        <v>10</v>
      </c>
    </row>
    <row r="27" spans="1:12" ht="15.75" thickBot="1" x14ac:dyDescent="0.3">
      <c r="A27" t="s">
        <v>264</v>
      </c>
    </row>
    <row r="28" spans="1:12" x14ac:dyDescent="0.25">
      <c r="A28" s="265"/>
      <c r="B28" s="265" t="s">
        <v>265</v>
      </c>
      <c r="C28" s="265" t="s">
        <v>266</v>
      </c>
      <c r="D28" s="265" t="s">
        <v>267</v>
      </c>
      <c r="E28" s="265" t="s">
        <v>268</v>
      </c>
      <c r="F28" s="265" t="s">
        <v>269</v>
      </c>
    </row>
    <row r="29" spans="1:12" x14ac:dyDescent="0.25">
      <c r="A29" s="263" t="s">
        <v>270</v>
      </c>
      <c r="B29" s="263">
        <v>1</v>
      </c>
      <c r="C29" s="263">
        <v>52.350637772719367</v>
      </c>
      <c r="D29" s="263">
        <v>52.350637772719367</v>
      </c>
      <c r="E29" s="263">
        <v>258.45454238520824</v>
      </c>
      <c r="F29" s="263">
        <v>2.2491009231524031E-7</v>
      </c>
    </row>
    <row r="30" spans="1:12" x14ac:dyDescent="0.25">
      <c r="A30" s="263" t="s">
        <v>271</v>
      </c>
      <c r="B30" s="263">
        <v>9</v>
      </c>
      <c r="C30" s="263">
        <v>1.822973338391747</v>
      </c>
      <c r="D30" s="263">
        <v>0.20255259315463855</v>
      </c>
      <c r="E30" s="263"/>
      <c r="F30" s="263"/>
    </row>
    <row r="31" spans="1:12" ht="15.75" thickBot="1" x14ac:dyDescent="0.3">
      <c r="A31" s="264" t="s">
        <v>75</v>
      </c>
      <c r="B31" s="264">
        <v>10</v>
      </c>
      <c r="C31" s="264">
        <v>54.173611111111114</v>
      </c>
      <c r="D31" s="264"/>
      <c r="E31" s="264"/>
      <c r="F31" s="264"/>
    </row>
    <row r="32" spans="1:12" ht="15.75" thickBot="1" x14ac:dyDescent="0.3"/>
    <row r="33" spans="1:44" x14ac:dyDescent="0.25">
      <c r="A33" s="265"/>
      <c r="B33" s="265" t="s">
        <v>272</v>
      </c>
      <c r="C33" s="265" t="s">
        <v>262</v>
      </c>
      <c r="D33" s="265" t="s">
        <v>273</v>
      </c>
      <c r="E33" s="265" t="s">
        <v>274</v>
      </c>
      <c r="F33" s="265" t="s">
        <v>245</v>
      </c>
      <c r="G33" s="265" t="s">
        <v>246</v>
      </c>
      <c r="H33" s="265" t="s">
        <v>275</v>
      </c>
      <c r="I33" s="265" t="s">
        <v>276</v>
      </c>
    </row>
    <row r="34" spans="1:44" x14ac:dyDescent="0.25">
      <c r="A34" s="263" t="s">
        <v>277</v>
      </c>
      <c r="B34" s="263">
        <v>0</v>
      </c>
      <c r="C34" s="263" t="e">
        <v>#N/A</v>
      </c>
      <c r="D34" s="263" t="e">
        <v>#N/A</v>
      </c>
      <c r="E34" s="263" t="e">
        <v>#N/A</v>
      </c>
      <c r="F34" s="263" t="e">
        <v>#N/A</v>
      </c>
      <c r="G34" s="263" t="e">
        <v>#N/A</v>
      </c>
      <c r="H34" s="263" t="e">
        <v>#N/A</v>
      </c>
      <c r="I34" s="263" t="e">
        <v>#N/A</v>
      </c>
    </row>
    <row r="35" spans="1:44" ht="15.75" thickBot="1" x14ac:dyDescent="0.3">
      <c r="A35" s="264" t="s">
        <v>278</v>
      </c>
      <c r="B35" s="264">
        <v>1.0278266578413488E-2</v>
      </c>
      <c r="C35" s="264">
        <v>6.3933398785145912E-4</v>
      </c>
      <c r="D35" s="264">
        <v>16.076521464085701</v>
      </c>
      <c r="E35" s="264">
        <v>6.1703922943722436E-8</v>
      </c>
      <c r="F35" s="264">
        <v>8.8319926183749696E-3</v>
      </c>
      <c r="G35" s="264">
        <v>1.1724540538452007E-2</v>
      </c>
      <c r="H35" s="264">
        <v>8.8319926183749696E-3</v>
      </c>
      <c r="I35" s="264">
        <v>1.1724540538452007E-2</v>
      </c>
    </row>
    <row r="39" spans="1:44" x14ac:dyDescent="0.25">
      <c r="A39" t="s">
        <v>279</v>
      </c>
    </row>
    <row r="40" spans="1:44" ht="15.75" thickBot="1" x14ac:dyDescent="0.3"/>
    <row r="41" spans="1:44" x14ac:dyDescent="0.25">
      <c r="A41" s="265" t="s">
        <v>280</v>
      </c>
      <c r="B41" s="265" t="s">
        <v>281</v>
      </c>
      <c r="C41" s="265" t="s">
        <v>282</v>
      </c>
      <c r="D41" s="265" t="s">
        <v>283</v>
      </c>
    </row>
    <row r="42" spans="1:44" x14ac:dyDescent="0.25">
      <c r="A42" s="263">
        <v>1</v>
      </c>
      <c r="B42" s="263">
        <v>4.1113066313653954E-2</v>
      </c>
      <c r="C42" s="263">
        <v>0.29222026701967935</v>
      </c>
      <c r="D42" s="263">
        <v>0.6844160331161695</v>
      </c>
    </row>
    <row r="43" spans="1:44" x14ac:dyDescent="0.25">
      <c r="A43" s="263">
        <v>2</v>
      </c>
      <c r="B43" s="263">
        <v>0.16445226525461581</v>
      </c>
      <c r="C43" s="263">
        <v>0.58554773474538413</v>
      </c>
      <c r="D43" s="263">
        <v>1.3714252673227696</v>
      </c>
    </row>
    <row r="44" spans="1:44" x14ac:dyDescent="0.25">
      <c r="A44" s="263">
        <v>3</v>
      </c>
      <c r="B44" s="263">
        <v>0.3700175968228856</v>
      </c>
      <c r="C44" s="263">
        <v>0.6299824031771144</v>
      </c>
      <c r="D44" s="263">
        <v>1.4754967604161253</v>
      </c>
      <c r="AR44" t="s">
        <v>144</v>
      </c>
    </row>
    <row r="45" spans="1:44" x14ac:dyDescent="0.25">
      <c r="A45" s="263">
        <v>4</v>
      </c>
      <c r="B45" s="263">
        <v>0.65780906101846326</v>
      </c>
      <c r="C45" s="263">
        <v>0.34219093898153674</v>
      </c>
      <c r="D45" s="263">
        <v>0.8014535316616781</v>
      </c>
    </row>
    <row r="46" spans="1:44" x14ac:dyDescent="0.25">
      <c r="A46" s="263">
        <v>5</v>
      </c>
      <c r="B46" s="263">
        <v>1.0278266578413489</v>
      </c>
      <c r="C46" s="263">
        <v>0.47217334215865114</v>
      </c>
      <c r="D46" s="263">
        <v>1.1058884076704532</v>
      </c>
    </row>
    <row r="47" spans="1:44" x14ac:dyDescent="0.25">
      <c r="A47" s="263">
        <v>6</v>
      </c>
      <c r="B47" s="263">
        <v>1.4800703872915424</v>
      </c>
      <c r="C47" s="263">
        <v>1.9929612708457611E-2</v>
      </c>
      <c r="D47" s="263">
        <v>4.6677619627750092E-2</v>
      </c>
    </row>
    <row r="48" spans="1:44" x14ac:dyDescent="0.25">
      <c r="A48" s="263">
        <v>7</v>
      </c>
      <c r="B48" s="263">
        <v>2.1584359814668326</v>
      </c>
      <c r="C48" s="263">
        <v>-0.15843598146683258</v>
      </c>
      <c r="D48" s="263">
        <v>-0.37107667802895394</v>
      </c>
    </row>
    <row r="49" spans="1:4" x14ac:dyDescent="0.25">
      <c r="A49" s="263">
        <v>8</v>
      </c>
      <c r="B49" s="263">
        <v>2.9601407745830848</v>
      </c>
      <c r="C49" s="263">
        <v>3.9859225416915223E-2</v>
      </c>
      <c r="D49" s="263">
        <v>9.3355239255500183E-2</v>
      </c>
    </row>
    <row r="50" spans="1:4" x14ac:dyDescent="0.25">
      <c r="A50" s="263">
        <v>9</v>
      </c>
      <c r="B50" s="263">
        <v>3.700175968228856</v>
      </c>
      <c r="C50" s="263">
        <v>-0.70017596822885597</v>
      </c>
      <c r="D50" s="263">
        <v>-1.6398987775416503</v>
      </c>
    </row>
    <row r="51" spans="1:4" ht="15.75" thickBot="1" x14ac:dyDescent="0.3">
      <c r="A51" s="264">
        <v>10</v>
      </c>
      <c r="B51" s="264">
        <v>4.6252199602860697</v>
      </c>
      <c r="C51" s="264">
        <v>0.37478003971393026</v>
      </c>
      <c r="D51" s="264">
        <v>0.87778123909131345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82"/>
  <sheetViews>
    <sheetView topLeftCell="A58" workbookViewId="0">
      <selection activeCell="K32" sqref="K32"/>
    </sheetView>
  </sheetViews>
  <sheetFormatPr defaultRowHeight="15" x14ac:dyDescent="0.25"/>
  <cols>
    <col min="1" max="1" width="25.85546875" style="243" customWidth="1"/>
    <col min="2" max="2" width="22.28515625" style="243" customWidth="1"/>
    <col min="3" max="3" width="11" style="243" customWidth="1"/>
    <col min="4" max="4" width="13.7109375" style="243" customWidth="1"/>
    <col min="5" max="5" width="15.28515625" style="243" customWidth="1"/>
    <col min="6" max="6" width="13.5703125" style="243" customWidth="1"/>
    <col min="7" max="8" width="9.140625" style="243" customWidth="1"/>
    <col min="9" max="9" width="19" style="242"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19" s="11" customFormat="1" ht="20.25" x14ac:dyDescent="0.3">
      <c r="H1" s="79" t="s">
        <v>19</v>
      </c>
      <c r="I1" s="228"/>
    </row>
    <row r="2" spans="1:19" s="234" customFormat="1" ht="18" customHeight="1" x14ac:dyDescent="0.25">
      <c r="A2" s="229" t="s">
        <v>19</v>
      </c>
      <c r="B2" s="230" t="s">
        <v>232</v>
      </c>
      <c r="C2" s="231"/>
      <c r="D2" s="232"/>
      <c r="E2" s="232"/>
      <c r="F2" s="232"/>
      <c r="G2" s="232"/>
      <c r="H2" s="232"/>
      <c r="I2" s="233" t="s">
        <v>66</v>
      </c>
    </row>
    <row r="3" spans="1:19" s="234" customFormat="1" x14ac:dyDescent="0.2">
      <c r="A3" s="235" t="s">
        <v>233</v>
      </c>
      <c r="C3" s="236"/>
      <c r="I3" s="237"/>
    </row>
    <row r="4" spans="1:19" s="234" customFormat="1" ht="12.75" x14ac:dyDescent="0.2">
      <c r="A4" s="238" t="s">
        <v>234</v>
      </c>
      <c r="B4" s="238" t="s">
        <v>62</v>
      </c>
      <c r="C4" s="238" t="s">
        <v>74</v>
      </c>
      <c r="D4" s="238" t="s">
        <v>235</v>
      </c>
      <c r="E4" s="239" t="s">
        <v>24</v>
      </c>
      <c r="F4" s="240"/>
      <c r="G4" s="240"/>
      <c r="H4" s="240"/>
      <c r="I4" s="241"/>
    </row>
    <row r="5" spans="1:19" x14ac:dyDescent="0.25">
      <c r="A5"/>
      <c r="B5"/>
      <c r="C5"/>
      <c r="D5"/>
      <c r="E5"/>
      <c r="F5"/>
      <c r="G5"/>
      <c r="H5"/>
    </row>
    <row r="8" spans="1:19" ht="30" x14ac:dyDescent="0.25">
      <c r="A8" s="321" t="s">
        <v>320</v>
      </c>
      <c r="B8" s="322" t="s">
        <v>321</v>
      </c>
      <c r="C8" s="321"/>
      <c r="D8" s="321" t="s">
        <v>322</v>
      </c>
      <c r="E8" s="321" t="s">
        <v>323</v>
      </c>
      <c r="F8" s="323" t="s">
        <v>324</v>
      </c>
      <c r="G8" s="270"/>
      <c r="H8" s="270"/>
      <c r="I8" s="272"/>
      <c r="J8" s="270"/>
      <c r="K8" s="270"/>
      <c r="L8" s="270"/>
      <c r="M8" s="270"/>
      <c r="N8" s="271" t="s">
        <v>325</v>
      </c>
      <c r="O8" s="270"/>
      <c r="P8" s="270"/>
      <c r="Q8" s="270"/>
      <c r="R8" s="270"/>
    </row>
    <row r="9" spans="1:19" x14ac:dyDescent="0.25">
      <c r="A9" s="270" t="s">
        <v>326</v>
      </c>
      <c r="B9" s="273">
        <v>0.49099999999999999</v>
      </c>
      <c r="C9" s="270" t="s">
        <v>327</v>
      </c>
      <c r="D9" s="270">
        <v>1</v>
      </c>
      <c r="E9" s="270">
        <v>2</v>
      </c>
      <c r="F9" s="270">
        <f>$D9*$K19+$E9*$K$10</f>
        <v>172.1148</v>
      </c>
      <c r="G9" s="270" t="s">
        <v>328</v>
      </c>
      <c r="H9" s="270"/>
      <c r="I9" s="272"/>
      <c r="J9" s="270" t="s">
        <v>329</v>
      </c>
      <c r="K9" s="274">
        <v>12.0107</v>
      </c>
      <c r="L9" s="270" t="s">
        <v>328</v>
      </c>
      <c r="M9" s="270"/>
      <c r="N9" s="270"/>
      <c r="O9" s="270"/>
      <c r="P9" s="271"/>
      <c r="Q9" s="270"/>
      <c r="R9" s="271"/>
    </row>
    <row r="10" spans="1:19" x14ac:dyDescent="0.25">
      <c r="A10" s="270" t="s">
        <v>330</v>
      </c>
      <c r="B10" s="273">
        <v>0.33200000000000002</v>
      </c>
      <c r="C10" s="270" t="s">
        <v>327</v>
      </c>
      <c r="D10" s="270">
        <v>2</v>
      </c>
      <c r="E10" s="270">
        <v>3</v>
      </c>
      <c r="F10" s="270">
        <f t="shared" ref="F10:F23" si="0">$D10*$K20+$E10*$K$10</f>
        <v>325.80914000000001</v>
      </c>
      <c r="G10" s="270" t="s">
        <v>328</v>
      </c>
      <c r="H10" s="270"/>
      <c r="I10" s="272"/>
      <c r="J10" s="270" t="s">
        <v>331</v>
      </c>
      <c r="K10" s="274">
        <v>15.9994</v>
      </c>
      <c r="L10" s="270" t="s">
        <v>328</v>
      </c>
      <c r="M10" s="270"/>
      <c r="N10" s="270"/>
      <c r="O10" s="270"/>
      <c r="P10" s="271"/>
      <c r="Q10" s="270"/>
      <c r="R10" s="271"/>
    </row>
    <row r="11" spans="1:19" x14ac:dyDescent="0.25">
      <c r="A11" s="270" t="s">
        <v>332</v>
      </c>
      <c r="B11" s="273">
        <v>4.3400000000000001E-2</v>
      </c>
      <c r="C11" s="270" t="s">
        <v>327</v>
      </c>
      <c r="D11" s="270">
        <v>6</v>
      </c>
      <c r="E11" s="270">
        <v>11</v>
      </c>
      <c r="F11" s="270">
        <f t="shared" si="0"/>
        <v>1021.4393</v>
      </c>
      <c r="G11" s="270" t="s">
        <v>328</v>
      </c>
      <c r="H11" s="270"/>
      <c r="I11" s="272"/>
      <c r="J11" s="271" t="s">
        <v>333</v>
      </c>
      <c r="K11" s="274">
        <v>18.9984</v>
      </c>
      <c r="L11" s="270" t="s">
        <v>328</v>
      </c>
      <c r="M11" s="270"/>
      <c r="N11" s="270"/>
      <c r="O11" s="270"/>
      <c r="P11" s="271"/>
      <c r="Q11" s="270"/>
      <c r="R11" s="271"/>
      <c r="S11" s="271"/>
    </row>
    <row r="12" spans="1:19" x14ac:dyDescent="0.25">
      <c r="A12" s="270" t="s">
        <v>334</v>
      </c>
      <c r="B12" s="273">
        <v>0.12</v>
      </c>
      <c r="C12" s="270" t="s">
        <v>327</v>
      </c>
      <c r="D12" s="270">
        <v>2</v>
      </c>
      <c r="E12" s="270">
        <v>3</v>
      </c>
      <c r="F12" s="270">
        <f t="shared" si="0"/>
        <v>336.48219999999998</v>
      </c>
      <c r="G12" s="270" t="s">
        <v>328</v>
      </c>
      <c r="H12" s="270"/>
      <c r="I12" s="272"/>
      <c r="J12" s="270" t="s">
        <v>335</v>
      </c>
      <c r="K12" s="274">
        <v>22.989768999999999</v>
      </c>
      <c r="L12" s="270" t="s">
        <v>328</v>
      </c>
      <c r="M12" s="270"/>
      <c r="N12" s="270"/>
      <c r="O12" s="270"/>
      <c r="P12" s="271"/>
      <c r="Q12" s="270"/>
      <c r="R12" s="271"/>
      <c r="S12" s="271"/>
    </row>
    <row r="13" spans="1:19" x14ac:dyDescent="0.25">
      <c r="A13" s="270" t="s">
        <v>336</v>
      </c>
      <c r="B13" s="273">
        <v>7.8899999999999994E-3</v>
      </c>
      <c r="C13" s="270" t="s">
        <v>327</v>
      </c>
      <c r="D13" s="270">
        <v>2</v>
      </c>
      <c r="E13" s="270">
        <v>3</v>
      </c>
      <c r="F13" s="270">
        <f t="shared" si="0"/>
        <v>348.71820000000002</v>
      </c>
      <c r="G13" s="270" t="s">
        <v>328</v>
      </c>
      <c r="H13" s="270"/>
      <c r="I13" s="272"/>
      <c r="J13" s="270" t="s">
        <v>337</v>
      </c>
      <c r="K13" s="274">
        <v>1.0079400000000001</v>
      </c>
      <c r="L13" s="270" t="s">
        <v>328</v>
      </c>
      <c r="M13" s="270"/>
      <c r="N13" s="270"/>
      <c r="O13" s="270"/>
      <c r="P13" s="271"/>
      <c r="Q13" s="270"/>
      <c r="R13" s="271"/>
    </row>
    <row r="14" spans="1:19" x14ac:dyDescent="0.25">
      <c r="A14" s="270" t="s">
        <v>338</v>
      </c>
      <c r="B14" s="273">
        <v>1.1800000000000001E-3</v>
      </c>
      <c r="C14" s="270" t="s">
        <v>327</v>
      </c>
      <c r="D14" s="270">
        <v>2</v>
      </c>
      <c r="E14" s="270">
        <v>3</v>
      </c>
      <c r="F14" s="270">
        <f t="shared" si="0"/>
        <v>351.92619999999999</v>
      </c>
      <c r="G14" s="270" t="s">
        <v>328</v>
      </c>
      <c r="H14" s="270"/>
      <c r="I14" s="272"/>
      <c r="J14" s="270" t="s">
        <v>339</v>
      </c>
      <c r="K14" s="274">
        <v>35.453000000000003</v>
      </c>
      <c r="L14" s="270" t="s">
        <v>328</v>
      </c>
      <c r="M14" s="270"/>
      <c r="N14" s="270"/>
      <c r="O14" s="271"/>
      <c r="P14" s="271"/>
      <c r="Q14" s="270"/>
      <c r="R14" s="270"/>
    </row>
    <row r="15" spans="1:19" x14ac:dyDescent="0.25">
      <c r="A15" s="270" t="s">
        <v>340</v>
      </c>
      <c r="B15" s="273">
        <v>1.66E-3</v>
      </c>
      <c r="C15" s="270" t="s">
        <v>327</v>
      </c>
      <c r="D15" s="270">
        <v>2</v>
      </c>
      <c r="E15" s="270">
        <v>3</v>
      </c>
      <c r="F15" s="270">
        <f t="shared" si="0"/>
        <v>362.4982</v>
      </c>
      <c r="G15" s="270" t="s">
        <v>328</v>
      </c>
      <c r="H15" s="270"/>
      <c r="I15" s="272"/>
      <c r="J15" s="270" t="s">
        <v>341</v>
      </c>
      <c r="K15" s="270">
        <v>14.0067</v>
      </c>
      <c r="L15" s="270" t="s">
        <v>328</v>
      </c>
      <c r="M15" s="270"/>
      <c r="N15" s="270"/>
      <c r="P15" s="271"/>
      <c r="Q15" s="270"/>
      <c r="R15" s="270"/>
    </row>
    <row r="16" spans="1:19" x14ac:dyDescent="0.25">
      <c r="A16" s="271" t="s">
        <v>342</v>
      </c>
      <c r="B16" s="273">
        <v>1.5899999999999999E-4</v>
      </c>
      <c r="C16" s="270" t="s">
        <v>327</v>
      </c>
      <c r="D16" s="270">
        <v>4</v>
      </c>
      <c r="E16" s="270">
        <v>7</v>
      </c>
      <c r="F16" s="270">
        <f t="shared" si="0"/>
        <v>747.69720000000007</v>
      </c>
      <c r="G16" s="270" t="s">
        <v>328</v>
      </c>
      <c r="H16" s="270"/>
      <c r="I16" s="272"/>
      <c r="J16" s="270" t="s">
        <v>343</v>
      </c>
      <c r="K16" s="270">
        <v>40.078000000000003</v>
      </c>
      <c r="L16" s="270" t="s">
        <v>328</v>
      </c>
      <c r="M16" s="270"/>
      <c r="N16" s="270"/>
      <c r="O16" s="271"/>
      <c r="P16" s="271"/>
      <c r="Q16" s="270"/>
      <c r="R16" s="270"/>
    </row>
    <row r="17" spans="1:18" x14ac:dyDescent="0.25">
      <c r="A17" s="270" t="s">
        <v>344</v>
      </c>
      <c r="B17" s="273">
        <v>3.1199999999999999E-4</v>
      </c>
      <c r="C17" s="270" t="s">
        <v>327</v>
      </c>
      <c r="D17" s="270">
        <v>2</v>
      </c>
      <c r="E17" s="270">
        <v>3</v>
      </c>
      <c r="F17" s="270">
        <f t="shared" si="0"/>
        <v>372.9982</v>
      </c>
      <c r="G17" s="270" t="s">
        <v>328</v>
      </c>
      <c r="H17" s="270"/>
      <c r="I17" s="272"/>
      <c r="J17" s="270" t="s">
        <v>345</v>
      </c>
      <c r="K17" s="274">
        <v>34.997799999999998</v>
      </c>
      <c r="L17" s="270" t="s">
        <v>328</v>
      </c>
      <c r="M17" s="270"/>
      <c r="N17" s="270"/>
      <c r="O17" s="270"/>
      <c r="P17" s="270"/>
      <c r="Q17" s="270"/>
      <c r="R17" s="270"/>
    </row>
    <row r="18" spans="1:18" x14ac:dyDescent="0.25">
      <c r="A18" s="270" t="s">
        <v>346</v>
      </c>
      <c r="B18" s="273">
        <v>5.1E-5</v>
      </c>
      <c r="C18" s="270" t="s">
        <v>327</v>
      </c>
      <c r="D18" s="270">
        <v>2</v>
      </c>
      <c r="E18" s="270">
        <v>3</v>
      </c>
      <c r="F18" s="270">
        <f t="shared" si="0"/>
        <v>377.85883999999999</v>
      </c>
      <c r="G18" s="270" t="s">
        <v>328</v>
      </c>
      <c r="H18" s="270"/>
      <c r="I18" s="272"/>
      <c r="J18" s="270" t="s">
        <v>347</v>
      </c>
      <c r="K18" s="270">
        <v>56.995199999999997</v>
      </c>
      <c r="L18" s="270" t="s">
        <v>328</v>
      </c>
      <c r="M18" s="270"/>
      <c r="N18" s="270"/>
      <c r="O18" s="270"/>
      <c r="P18" s="270"/>
      <c r="Q18" s="270"/>
      <c r="R18" s="270"/>
    </row>
    <row r="19" spans="1:18" x14ac:dyDescent="0.25">
      <c r="A19" s="270" t="s">
        <v>348</v>
      </c>
      <c r="B19" s="273">
        <v>3.4999999999999997E-5</v>
      </c>
      <c r="C19" s="270" t="s">
        <v>327</v>
      </c>
      <c r="D19" s="270">
        <v>2</v>
      </c>
      <c r="E19" s="270">
        <v>3</v>
      </c>
      <c r="F19" s="270">
        <f t="shared" si="0"/>
        <v>382.51619999999997</v>
      </c>
      <c r="G19" s="270" t="s">
        <v>328</v>
      </c>
      <c r="H19" s="270"/>
      <c r="I19" s="272"/>
      <c r="J19" s="270" t="s">
        <v>349</v>
      </c>
      <c r="K19" s="274">
        <v>140.11600000000001</v>
      </c>
      <c r="L19" s="270" t="s">
        <v>328</v>
      </c>
      <c r="M19" s="270"/>
      <c r="N19" s="270"/>
      <c r="O19" s="270"/>
      <c r="P19" s="270"/>
      <c r="Q19" s="270"/>
      <c r="R19" s="270"/>
    </row>
    <row r="20" spans="1:18" x14ac:dyDescent="0.25">
      <c r="A20" s="270" t="s">
        <v>350</v>
      </c>
      <c r="B20" s="273">
        <v>9.0000000000000002E-6</v>
      </c>
      <c r="C20" s="270" t="s">
        <v>327</v>
      </c>
      <c r="D20" s="270">
        <v>2</v>
      </c>
      <c r="E20" s="270">
        <v>3</v>
      </c>
      <c r="F20" s="270">
        <f t="shared" si="0"/>
        <v>385.86662000000001</v>
      </c>
      <c r="G20" s="270" t="s">
        <v>328</v>
      </c>
      <c r="H20" s="270"/>
      <c r="I20" s="272"/>
      <c r="J20" s="270" t="s">
        <v>351</v>
      </c>
      <c r="K20" s="270">
        <v>138.90547000000001</v>
      </c>
      <c r="L20" s="270" t="s">
        <v>328</v>
      </c>
      <c r="M20" s="270"/>
      <c r="N20" s="270"/>
      <c r="O20" s="270"/>
      <c r="P20" s="270"/>
      <c r="Q20" s="270"/>
      <c r="R20" s="270"/>
    </row>
    <row r="21" spans="1:18" x14ac:dyDescent="0.25">
      <c r="A21" s="270" t="s">
        <v>352</v>
      </c>
      <c r="B21" s="273">
        <v>6.0000000000000002E-6</v>
      </c>
      <c r="C21" s="270" t="s">
        <v>327</v>
      </c>
      <c r="D21" s="270">
        <v>2</v>
      </c>
      <c r="E21" s="270">
        <v>3</v>
      </c>
      <c r="F21" s="270">
        <f t="shared" si="0"/>
        <v>394.07819999999998</v>
      </c>
      <c r="G21" s="270" t="s">
        <v>328</v>
      </c>
      <c r="H21" s="270"/>
      <c r="I21" s="272"/>
      <c r="J21" s="270" t="s">
        <v>353</v>
      </c>
      <c r="K21" s="270">
        <v>140.90764999999999</v>
      </c>
      <c r="L21" s="270" t="s">
        <v>328</v>
      </c>
      <c r="M21" s="270"/>
      <c r="N21" s="270"/>
      <c r="O21" s="270"/>
      <c r="P21" s="270"/>
      <c r="Q21" s="270"/>
      <c r="R21" s="270"/>
    </row>
    <row r="22" spans="1:18" x14ac:dyDescent="0.25">
      <c r="A22" s="270" t="s">
        <v>354</v>
      </c>
      <c r="B22" s="273">
        <v>9.9999999999999995E-7</v>
      </c>
      <c r="C22" s="270" t="s">
        <v>327</v>
      </c>
      <c r="D22" s="270">
        <v>2</v>
      </c>
      <c r="E22" s="270">
        <v>3</v>
      </c>
      <c r="F22" s="270">
        <f t="shared" si="0"/>
        <v>397.93220000000002</v>
      </c>
      <c r="G22" s="270" t="s">
        <v>328</v>
      </c>
      <c r="H22" s="270"/>
      <c r="I22" s="272"/>
      <c r="J22" s="270" t="s">
        <v>355</v>
      </c>
      <c r="K22" s="270">
        <v>144.24199999999999</v>
      </c>
      <c r="L22" s="270" t="s">
        <v>328</v>
      </c>
      <c r="M22" s="270"/>
      <c r="N22" s="270"/>
      <c r="O22" s="270"/>
      <c r="P22" s="270"/>
      <c r="Q22" s="270"/>
      <c r="R22" s="270"/>
    </row>
    <row r="23" spans="1:18" x14ac:dyDescent="0.25">
      <c r="A23" s="270" t="s">
        <v>356</v>
      </c>
      <c r="B23" s="273">
        <v>9.1299999999999997E-4</v>
      </c>
      <c r="C23" s="270" t="s">
        <v>327</v>
      </c>
      <c r="D23" s="270">
        <v>2</v>
      </c>
      <c r="E23" s="270">
        <v>3</v>
      </c>
      <c r="F23" s="270">
        <f t="shared" si="0"/>
        <v>225.8099</v>
      </c>
      <c r="G23" s="270" t="s">
        <v>328</v>
      </c>
      <c r="H23" s="270"/>
      <c r="I23" s="272"/>
      <c r="J23" s="270" t="s">
        <v>357</v>
      </c>
      <c r="K23" s="270">
        <v>150.36000000000001</v>
      </c>
      <c r="L23" s="270" t="s">
        <v>328</v>
      </c>
      <c r="M23" s="270"/>
      <c r="N23" s="270"/>
      <c r="O23" s="270"/>
      <c r="P23" s="270"/>
      <c r="Q23" s="270"/>
      <c r="R23" s="270"/>
    </row>
    <row r="24" spans="1:18" x14ac:dyDescent="0.25">
      <c r="A24" s="270"/>
      <c r="B24" s="273">
        <f>SUM(B9:B23)</f>
        <v>0.99861599999999995</v>
      </c>
      <c r="C24" s="270"/>
      <c r="D24" s="270"/>
      <c r="E24" s="270"/>
      <c r="F24" s="270"/>
      <c r="G24" s="270"/>
      <c r="H24" s="270"/>
      <c r="I24" s="272"/>
      <c r="J24" s="270" t="s">
        <v>358</v>
      </c>
      <c r="K24" s="270">
        <v>151.964</v>
      </c>
      <c r="L24" s="270" t="s">
        <v>328</v>
      </c>
      <c r="M24" s="270"/>
      <c r="N24" s="270"/>
      <c r="O24" s="270"/>
      <c r="P24" s="270"/>
      <c r="Q24" s="270"/>
      <c r="R24" s="270"/>
    </row>
    <row r="25" spans="1:18" ht="45" x14ac:dyDescent="0.25">
      <c r="A25" s="321"/>
      <c r="B25" s="322" t="s">
        <v>756</v>
      </c>
      <c r="C25" s="321"/>
      <c r="D25" s="322" t="s">
        <v>359</v>
      </c>
      <c r="E25" s="321"/>
      <c r="F25" s="322" t="s">
        <v>360</v>
      </c>
      <c r="G25" s="321"/>
      <c r="H25" s="270"/>
      <c r="I25" s="272"/>
      <c r="J25" s="270" t="s">
        <v>361</v>
      </c>
      <c r="K25" s="270">
        <v>157.25</v>
      </c>
      <c r="L25" s="270" t="s">
        <v>328</v>
      </c>
      <c r="M25" s="270"/>
      <c r="N25" s="270"/>
      <c r="O25" s="270"/>
      <c r="P25" s="270"/>
      <c r="Q25" s="270"/>
      <c r="R25" s="270"/>
    </row>
    <row r="26" spans="1:18" x14ac:dyDescent="0.25">
      <c r="A26" s="270" t="s">
        <v>349</v>
      </c>
      <c r="B26" s="273">
        <f>B9*Conversions!$D$8/F9*D9</f>
        <v>2.8527471199455245</v>
      </c>
      <c r="C26" s="271" t="s">
        <v>365</v>
      </c>
      <c r="D26" s="273">
        <f>B26/SUM($B$26:$B$40)</f>
        <v>0.48097238607820053</v>
      </c>
      <c r="E26" s="270" t="s">
        <v>362</v>
      </c>
      <c r="F26" s="273">
        <f>B26*K19</f>
        <v>399.71551545828714</v>
      </c>
      <c r="G26" s="270" t="s">
        <v>363</v>
      </c>
      <c r="H26" s="270"/>
      <c r="I26" s="276"/>
      <c r="J26" s="270" t="s">
        <v>364</v>
      </c>
      <c r="K26" s="270">
        <v>158.92535000000001</v>
      </c>
      <c r="L26" s="270" t="s">
        <v>328</v>
      </c>
      <c r="M26" s="270"/>
      <c r="N26" s="270">
        <f>F41/B41</f>
        <v>140.28984867835447</v>
      </c>
      <c r="O26" s="270">
        <f>N26+K36</f>
        <v>219.29714867835446</v>
      </c>
      <c r="P26" s="270"/>
      <c r="Q26" s="270"/>
      <c r="R26" s="270"/>
    </row>
    <row r="27" spans="1:18" x14ac:dyDescent="0.25">
      <c r="A27" s="270" t="s">
        <v>351</v>
      </c>
      <c r="B27" s="273">
        <f>B10*Conversions!$D$8/F10*D10</f>
        <v>2.0380029854288311</v>
      </c>
      <c r="C27" s="270" t="s">
        <v>365</v>
      </c>
      <c r="D27" s="273">
        <f t="shared" ref="D27:D40" si="1">B27/SUM($B$26:$B$40)</f>
        <v>0.34360674729378715</v>
      </c>
      <c r="E27" s="270" t="s">
        <v>362</v>
      </c>
      <c r="F27" s="270">
        <f t="shared" ref="F27:F40" si="2">B27*K20</f>
        <v>283.08976255239497</v>
      </c>
      <c r="G27" s="270" t="s">
        <v>363</v>
      </c>
      <c r="H27" s="270"/>
      <c r="I27" s="276"/>
      <c r="J27" s="270" t="s">
        <v>366</v>
      </c>
      <c r="K27" s="270">
        <v>162.5</v>
      </c>
      <c r="L27" s="270" t="s">
        <v>328</v>
      </c>
      <c r="M27" s="270"/>
      <c r="N27" s="270"/>
      <c r="O27" s="270"/>
      <c r="P27" s="270"/>
      <c r="Q27" s="270"/>
      <c r="R27" s="270"/>
    </row>
    <row r="28" spans="1:18" x14ac:dyDescent="0.25">
      <c r="A28" s="270" t="s">
        <v>353</v>
      </c>
      <c r="B28" s="273">
        <f>B11*Conversions!$D$8/F11*D11</f>
        <v>0.25493438523463896</v>
      </c>
      <c r="C28" s="270" t="s">
        <v>365</v>
      </c>
      <c r="D28" s="273">
        <f t="shared" si="1"/>
        <v>4.2981867794164991E-2</v>
      </c>
      <c r="E28" s="270" t="s">
        <v>362</v>
      </c>
      <c r="F28" s="270">
        <f t="shared" si="2"/>
        <v>35.922205127607668</v>
      </c>
      <c r="G28" s="270" t="s">
        <v>363</v>
      </c>
      <c r="H28" s="270"/>
      <c r="I28" s="276"/>
      <c r="J28" s="270" t="s">
        <v>367</v>
      </c>
      <c r="K28" s="270">
        <v>164.93031999999999</v>
      </c>
      <c r="L28" s="270" t="s">
        <v>328</v>
      </c>
      <c r="M28" s="270"/>
      <c r="N28" s="270"/>
      <c r="O28" s="270"/>
      <c r="P28" s="270"/>
      <c r="Q28" s="270"/>
      <c r="R28" s="270"/>
    </row>
    <row r="29" spans="1:18" x14ac:dyDescent="0.25">
      <c r="A29" s="270" t="s">
        <v>355</v>
      </c>
      <c r="B29" s="273">
        <f>B12*Conversions!$D$8/F12*D12</f>
        <v>0.71326209826255305</v>
      </c>
      <c r="C29" s="270" t="s">
        <v>365</v>
      </c>
      <c r="D29" s="273">
        <f t="shared" si="1"/>
        <v>0.12025579516036285</v>
      </c>
      <c r="E29" s="270" t="s">
        <v>362</v>
      </c>
      <c r="F29" s="270">
        <f t="shared" si="2"/>
        <v>102.88235157758717</v>
      </c>
      <c r="G29" s="270" t="s">
        <v>363</v>
      </c>
      <c r="H29" s="270"/>
      <c r="I29" s="276"/>
      <c r="J29" s="270" t="s">
        <v>368</v>
      </c>
      <c r="K29" s="270">
        <v>167.25899999999999</v>
      </c>
      <c r="L29" s="270" t="s">
        <v>328</v>
      </c>
      <c r="M29" s="270"/>
      <c r="N29" s="270"/>
      <c r="O29" s="270"/>
      <c r="P29" s="270"/>
      <c r="Q29" s="270"/>
      <c r="R29" s="270"/>
    </row>
    <row r="30" spans="1:18" x14ac:dyDescent="0.25">
      <c r="A30" s="270" t="s">
        <v>357</v>
      </c>
      <c r="B30" s="273">
        <f>B13*Conversions!$D$8/F13*D13</f>
        <v>4.5251437980581448E-2</v>
      </c>
      <c r="C30" s="270" t="s">
        <v>365</v>
      </c>
      <c r="D30" s="273">
        <f t="shared" si="1"/>
        <v>7.6293800971063922E-3</v>
      </c>
      <c r="E30" s="270" t="s">
        <v>362</v>
      </c>
      <c r="F30" s="270">
        <f t="shared" si="2"/>
        <v>6.8040062147602267</v>
      </c>
      <c r="G30" s="270" t="s">
        <v>363</v>
      </c>
      <c r="H30" s="270"/>
      <c r="I30" s="276"/>
      <c r="J30" s="270" t="s">
        <v>369</v>
      </c>
      <c r="K30" s="270">
        <v>168.93421000000001</v>
      </c>
      <c r="L30" s="270" t="s">
        <v>328</v>
      </c>
      <c r="M30" s="270"/>
      <c r="N30" s="270"/>
      <c r="O30" s="270"/>
      <c r="P30" s="270"/>
      <c r="Q30" s="270"/>
      <c r="R30" s="270"/>
    </row>
    <row r="31" spans="1:18" x14ac:dyDescent="0.25">
      <c r="A31" s="270" t="s">
        <v>358</v>
      </c>
      <c r="B31" s="273">
        <f>B14*Conversions!$D$8/F14*D14</f>
        <v>6.7059514182234809E-3</v>
      </c>
      <c r="C31" s="270" t="s">
        <v>365</v>
      </c>
      <c r="D31" s="273">
        <f t="shared" si="1"/>
        <v>1.13062157945813E-3</v>
      </c>
      <c r="E31" s="270" t="s">
        <v>362</v>
      </c>
      <c r="F31" s="270">
        <f t="shared" si="2"/>
        <v>1.0190632013189131</v>
      </c>
      <c r="G31" s="270" t="s">
        <v>363</v>
      </c>
      <c r="H31" s="270"/>
      <c r="I31" s="276"/>
      <c r="J31" s="270" t="s">
        <v>370</v>
      </c>
      <c r="K31" s="270">
        <v>173.04</v>
      </c>
      <c r="L31" s="270" t="s">
        <v>328</v>
      </c>
      <c r="M31" s="270"/>
      <c r="N31" s="270"/>
      <c r="O31" s="270"/>
      <c r="P31" s="270"/>
      <c r="Q31" s="270"/>
      <c r="R31" s="270"/>
    </row>
    <row r="32" spans="1:18" x14ac:dyDescent="0.25">
      <c r="A32" s="270" t="s">
        <v>361</v>
      </c>
      <c r="B32" s="273">
        <f>B15*Conversions!$D$8/F15*D15</f>
        <v>9.1586661671699335E-3</v>
      </c>
      <c r="C32" s="270" t="s">
        <v>365</v>
      </c>
      <c r="D32" s="273">
        <f t="shared" si="1"/>
        <v>1.544148616930872E-3</v>
      </c>
      <c r="E32" s="270" t="s">
        <v>362</v>
      </c>
      <c r="F32" s="270">
        <f t="shared" si="2"/>
        <v>1.4402002547874719</v>
      </c>
      <c r="G32" s="270" t="s">
        <v>363</v>
      </c>
      <c r="H32" s="270"/>
      <c r="I32" s="276"/>
      <c r="J32" s="270" t="s">
        <v>371</v>
      </c>
      <c r="K32" s="270">
        <v>174.96700000000001</v>
      </c>
      <c r="L32" s="270" t="s">
        <v>328</v>
      </c>
      <c r="M32" s="270"/>
      <c r="N32" s="270"/>
      <c r="O32" s="270"/>
      <c r="P32" s="270"/>
      <c r="Q32" s="270"/>
      <c r="R32" s="270"/>
    </row>
    <row r="33" spans="1:23" x14ac:dyDescent="0.25">
      <c r="A33" s="270" t="s">
        <v>364</v>
      </c>
      <c r="B33" s="273">
        <f>B16*Conversions!$D$8/F16*D16</f>
        <v>8.506117182196215E-4</v>
      </c>
      <c r="C33" s="270" t="s">
        <v>365</v>
      </c>
      <c r="D33" s="273">
        <f t="shared" si="1"/>
        <v>1.4341290361060178E-4</v>
      </c>
      <c r="E33" s="270" t="s">
        <v>362</v>
      </c>
      <c r="F33" s="270">
        <f t="shared" si="2"/>
        <v>0.13518376503215473</v>
      </c>
      <c r="G33" s="270" t="s">
        <v>363</v>
      </c>
      <c r="H33" s="270"/>
      <c r="I33" s="276"/>
      <c r="J33" s="270" t="s">
        <v>372</v>
      </c>
      <c r="K33" s="270">
        <v>88.905850000000001</v>
      </c>
      <c r="L33" s="270" t="s">
        <v>328</v>
      </c>
      <c r="M33" s="270"/>
      <c r="N33" s="270"/>
      <c r="O33" s="270"/>
      <c r="P33" s="270"/>
      <c r="Q33" s="270"/>
      <c r="R33" s="270"/>
    </row>
    <row r="34" spans="1:23" x14ac:dyDescent="0.25">
      <c r="A34" s="270" t="s">
        <v>366</v>
      </c>
      <c r="B34" s="273">
        <f>B17*Conversions!$D$8/F17*D17</f>
        <v>1.6729303251329364E-3</v>
      </c>
      <c r="C34" s="270" t="s">
        <v>365</v>
      </c>
      <c r="D34" s="273">
        <f t="shared" si="1"/>
        <v>2.8205559637446356E-4</v>
      </c>
      <c r="E34" s="270" t="s">
        <v>362</v>
      </c>
      <c r="F34" s="270">
        <f t="shared" si="2"/>
        <v>0.27185117783410218</v>
      </c>
      <c r="G34" s="270" t="s">
        <v>363</v>
      </c>
      <c r="H34" s="270"/>
      <c r="I34" s="276"/>
      <c r="J34" s="270" t="s">
        <v>373</v>
      </c>
      <c r="K34" s="270">
        <v>32.064999999999998</v>
      </c>
      <c r="L34" s="270" t="s">
        <v>328</v>
      </c>
      <c r="M34" s="270"/>
      <c r="N34" s="270"/>
      <c r="O34" s="270"/>
      <c r="P34" s="270"/>
      <c r="Q34" s="270"/>
      <c r="R34" s="270"/>
    </row>
    <row r="35" spans="1:23" x14ac:dyDescent="0.25">
      <c r="A35" s="270" t="s">
        <v>367</v>
      </c>
      <c r="B35" s="273">
        <f>B18*Conversions!$D$8/F18*D18</f>
        <v>2.6994207678190089E-4</v>
      </c>
      <c r="C35" s="270" t="s">
        <v>365</v>
      </c>
      <c r="D35" s="273">
        <f t="shared" si="1"/>
        <v>4.551216049432905E-5</v>
      </c>
      <c r="E35" s="270" t="s">
        <v>362</v>
      </c>
      <c r="F35" s="270">
        <f t="shared" si="2"/>
        <v>4.4521633105103479E-2</v>
      </c>
      <c r="G35" s="270" t="s">
        <v>363</v>
      </c>
      <c r="H35" s="270"/>
      <c r="I35" s="276"/>
      <c r="J35" s="271" t="s">
        <v>374</v>
      </c>
      <c r="K35" s="270">
        <v>30.973762000000001</v>
      </c>
      <c r="L35" s="271" t="s">
        <v>328</v>
      </c>
      <c r="M35" s="270"/>
      <c r="N35" s="270"/>
      <c r="O35" s="270"/>
      <c r="P35" s="270"/>
      <c r="Q35" s="270"/>
      <c r="R35" s="270"/>
    </row>
    <row r="36" spans="1:23" x14ac:dyDescent="0.25">
      <c r="A36" s="270" t="s">
        <v>368</v>
      </c>
      <c r="B36" s="273">
        <f>B19*Conversions!$D$8/F19*D19</f>
        <v>1.8299878541091854E-4</v>
      </c>
      <c r="C36" s="270" t="s">
        <v>365</v>
      </c>
      <c r="D36" s="273">
        <f t="shared" si="1"/>
        <v>3.0853545290822286E-5</v>
      </c>
      <c r="E36" s="270" t="s">
        <v>362</v>
      </c>
      <c r="F36" s="270">
        <f t="shared" si="2"/>
        <v>3.0608193849044823E-2</v>
      </c>
      <c r="G36" s="270" t="s">
        <v>363</v>
      </c>
      <c r="H36" s="270"/>
      <c r="I36" s="276"/>
      <c r="J36" s="271" t="s">
        <v>375</v>
      </c>
      <c r="K36" s="270">
        <f>K11+K9+3*K10</f>
        <v>79.007300000000001</v>
      </c>
      <c r="L36" s="271" t="s">
        <v>328</v>
      </c>
      <c r="M36" s="270"/>
      <c r="N36" s="270"/>
      <c r="O36" s="270"/>
      <c r="P36" s="270"/>
      <c r="Q36" s="270"/>
      <c r="R36" s="270"/>
    </row>
    <row r="37" spans="1:23" x14ac:dyDescent="0.25">
      <c r="A37" s="270" t="s">
        <v>369</v>
      </c>
      <c r="B37" s="273">
        <f>B20*Conversions!$D$8/F20*D20</f>
        <v>4.6648243374873942E-5</v>
      </c>
      <c r="C37" s="270" t="s">
        <v>365</v>
      </c>
      <c r="D37" s="273">
        <f t="shared" si="1"/>
        <v>7.8648811054791897E-6</v>
      </c>
      <c r="E37" s="270" t="s">
        <v>362</v>
      </c>
      <c r="F37" s="270">
        <f t="shared" si="2"/>
        <v>7.8804841424220638E-3</v>
      </c>
      <c r="G37" s="270" t="s">
        <v>363</v>
      </c>
      <c r="H37" s="270"/>
      <c r="I37" s="276"/>
      <c r="M37" s="270"/>
      <c r="N37" s="270"/>
      <c r="O37" s="270"/>
      <c r="P37" s="270"/>
      <c r="Q37" s="270"/>
      <c r="R37" s="270"/>
    </row>
    <row r="38" spans="1:23" x14ac:dyDescent="0.25">
      <c r="A38" s="270" t="s">
        <v>370</v>
      </c>
      <c r="B38" s="273">
        <f>B21*Conversions!$D$8/F21*D21</f>
        <v>3.0450809001868159E-5</v>
      </c>
      <c r="C38" s="270" t="s">
        <v>365</v>
      </c>
      <c r="D38" s="273">
        <f t="shared" si="1"/>
        <v>5.1339980895046009E-6</v>
      </c>
      <c r="E38" s="270" t="s">
        <v>362</v>
      </c>
      <c r="F38" s="270">
        <f t="shared" si="2"/>
        <v>5.2692079896832665E-3</v>
      </c>
      <c r="G38" s="270" t="s">
        <v>363</v>
      </c>
      <c r="H38" s="270"/>
      <c r="I38" s="276"/>
      <c r="J38" s="270"/>
      <c r="K38" s="270"/>
      <c r="L38" s="270"/>
      <c r="M38" s="270"/>
      <c r="N38" s="270"/>
      <c r="O38" s="270"/>
      <c r="P38" s="270"/>
      <c r="Q38" s="270"/>
      <c r="R38" s="270"/>
    </row>
    <row r="39" spans="1:23" x14ac:dyDescent="0.25">
      <c r="A39" s="270" t="s">
        <v>371</v>
      </c>
      <c r="B39" s="273">
        <f>B22*Conversions!$D$8/F22*D22</f>
        <v>5.0259818129822113E-6</v>
      </c>
      <c r="C39" s="270" t="s">
        <v>365</v>
      </c>
      <c r="D39" s="273">
        <f t="shared" si="1"/>
        <v>8.473791623780013E-7</v>
      </c>
      <c r="E39" s="270" t="s">
        <v>362</v>
      </c>
      <c r="F39" s="270">
        <f t="shared" si="2"/>
        <v>8.793809598720586E-4</v>
      </c>
      <c r="G39" s="270" t="s">
        <v>363</v>
      </c>
      <c r="H39" s="270"/>
      <c r="I39" s="276"/>
      <c r="J39" s="270"/>
      <c r="K39" s="270"/>
      <c r="L39" s="270"/>
      <c r="M39" s="270"/>
      <c r="N39" s="270"/>
      <c r="O39" s="270"/>
      <c r="P39" s="270"/>
      <c r="Q39" s="270"/>
      <c r="R39" s="270"/>
    </row>
    <row r="40" spans="1:23" x14ac:dyDescent="0.25">
      <c r="A40" s="270" t="s">
        <v>372</v>
      </c>
      <c r="B40" s="273">
        <f>B23*Conversions!$D$8/F23*D23</f>
        <v>8.0864479369593626E-3</v>
      </c>
      <c r="C40" s="270" t="s">
        <v>365</v>
      </c>
      <c r="D40" s="273">
        <f t="shared" si="1"/>
        <v>1.3633729158618016E-3</v>
      </c>
      <c r="E40" s="270" t="s">
        <v>362</v>
      </c>
      <c r="F40" s="270">
        <f t="shared" si="2"/>
        <v>0.71893252731611856</v>
      </c>
      <c r="G40" s="270" t="s">
        <v>363</v>
      </c>
      <c r="H40" s="270"/>
      <c r="I40" s="276"/>
      <c r="J40" s="270" t="s">
        <v>376</v>
      </c>
      <c r="K40" s="277">
        <f>2*K13+4*K10+K34</f>
        <v>98.078479999999999</v>
      </c>
      <c r="L40" s="271" t="s">
        <v>328</v>
      </c>
      <c r="M40" s="277">
        <f t="shared" ref="M40:M48" si="3">K40/1000</f>
        <v>9.8078479999999996E-2</v>
      </c>
      <c r="N40" s="271" t="s">
        <v>377</v>
      </c>
      <c r="O40" s="270"/>
      <c r="P40" s="270"/>
      <c r="Q40" s="270"/>
      <c r="R40" s="270"/>
    </row>
    <row r="41" spans="1:23" x14ac:dyDescent="0.25">
      <c r="A41" s="270"/>
      <c r="B41" s="270">
        <f>SUM(B26:B40)</f>
        <v>5.9312077003142152</v>
      </c>
      <c r="C41" s="270" t="s">
        <v>365</v>
      </c>
      <c r="D41" s="275">
        <f>SUM(D26:D40)</f>
        <v>1.0000000000000004</v>
      </c>
      <c r="E41" s="270"/>
      <c r="F41" s="271">
        <f>SUM(F26:F40)</f>
        <v>832.08823075697205</v>
      </c>
      <c r="G41" s="270"/>
      <c r="H41" s="270"/>
      <c r="I41" s="272"/>
      <c r="J41" s="271" t="s">
        <v>378</v>
      </c>
      <c r="K41" s="277">
        <f>K12+K10+K13</f>
        <v>39.997108999999995</v>
      </c>
      <c r="L41" s="271" t="s">
        <v>328</v>
      </c>
      <c r="M41" s="277">
        <f t="shared" si="3"/>
        <v>3.9997108999999996E-2</v>
      </c>
      <c r="N41" s="271" t="s">
        <v>377</v>
      </c>
      <c r="O41" s="270"/>
      <c r="P41" s="270"/>
      <c r="Q41" s="270"/>
      <c r="R41" s="270"/>
    </row>
    <row r="42" spans="1:23" ht="45" x14ac:dyDescent="0.25">
      <c r="A42" s="321"/>
      <c r="B42" s="321" t="s">
        <v>379</v>
      </c>
      <c r="C42" s="321"/>
      <c r="D42" s="322" t="s">
        <v>393</v>
      </c>
      <c r="E42" s="321"/>
      <c r="F42" s="322" t="s">
        <v>394</v>
      </c>
      <c r="G42" s="321"/>
      <c r="H42" s="270"/>
      <c r="I42" s="272"/>
      <c r="J42" s="271" t="s">
        <v>380</v>
      </c>
      <c r="K42" s="270">
        <f>K9+2*K10</f>
        <v>44.009500000000003</v>
      </c>
      <c r="L42" s="271" t="s">
        <v>328</v>
      </c>
      <c r="M42" s="277">
        <f t="shared" si="3"/>
        <v>4.40095E-2</v>
      </c>
      <c r="N42" s="271" t="s">
        <v>377</v>
      </c>
      <c r="O42" s="270"/>
      <c r="P42" s="271" t="s">
        <v>381</v>
      </c>
      <c r="Q42" s="270"/>
      <c r="R42" s="270"/>
      <c r="S42" s="271" t="s">
        <v>382</v>
      </c>
      <c r="U42" t="s">
        <v>383</v>
      </c>
    </row>
    <row r="43" spans="1:23" x14ac:dyDescent="0.25">
      <c r="A43" s="271" t="s">
        <v>396</v>
      </c>
      <c r="B43" s="270">
        <f>K19+3*$K$14</f>
        <v>246.47500000000002</v>
      </c>
      <c r="C43" s="270" t="s">
        <v>328</v>
      </c>
      <c r="D43" s="273">
        <f>B26*B43/Conversions!$D$8</f>
        <v>0.70313084638857326</v>
      </c>
      <c r="E43" s="270" t="s">
        <v>44</v>
      </c>
      <c r="F43" s="273">
        <f>D43/$D$58</f>
        <v>0.48063337612906543</v>
      </c>
      <c r="G43" s="271" t="s">
        <v>395</v>
      </c>
      <c r="H43" s="270"/>
      <c r="I43" s="272"/>
      <c r="J43" s="271" t="s">
        <v>347</v>
      </c>
      <c r="K43" s="270">
        <f>3*K11</f>
        <v>56.995199999999997</v>
      </c>
      <c r="L43" s="271" t="s">
        <v>328</v>
      </c>
      <c r="M43" s="277">
        <f t="shared" si="3"/>
        <v>5.6995199999999996E-2</v>
      </c>
      <c r="N43" s="271" t="s">
        <v>377</v>
      </c>
      <c r="O43" s="270" t="s">
        <v>349</v>
      </c>
      <c r="P43" s="278">
        <f>F43/(B43/Conversions!$D$8)*(K19/Conversions!$D$8)</f>
        <v>0.27323025105872861</v>
      </c>
      <c r="Q43" s="271" t="s">
        <v>384</v>
      </c>
      <c r="R43" s="270"/>
      <c r="S43">
        <f>P43/(K19/Conversions!$D$8)</f>
        <v>1.950028912177971</v>
      </c>
      <c r="T43" t="s">
        <v>365</v>
      </c>
      <c r="W43">
        <f>S43/$S$58*K19</f>
        <v>67.391926847733131</v>
      </c>
    </row>
    <row r="44" spans="1:23" x14ac:dyDescent="0.25">
      <c r="A44" s="271" t="s">
        <v>397</v>
      </c>
      <c r="B44" s="270">
        <f t="shared" ref="B44:B57" si="4">K20+3*$K$14</f>
        <v>245.26447000000002</v>
      </c>
      <c r="C44" s="270" t="s">
        <v>328</v>
      </c>
      <c r="D44" s="273">
        <f>B27*B44/Conversions!$D$8</f>
        <v>0.49984972207961997</v>
      </c>
      <c r="E44" s="270" t="s">
        <v>44</v>
      </c>
      <c r="F44" s="273">
        <f t="shared" ref="F44:F57" si="5">D44/$D$58</f>
        <v>0.34167816803123985</v>
      </c>
      <c r="G44" s="271" t="s">
        <v>395</v>
      </c>
      <c r="H44" s="270"/>
      <c r="I44" s="272"/>
      <c r="J44" s="270" t="s">
        <v>385</v>
      </c>
      <c r="K44" s="277">
        <f>K13+K14</f>
        <v>36.460940000000001</v>
      </c>
      <c r="L44" s="271" t="s">
        <v>328</v>
      </c>
      <c r="M44" s="277">
        <f t="shared" si="3"/>
        <v>3.6460940000000004E-2</v>
      </c>
      <c r="N44" s="271" t="s">
        <v>377</v>
      </c>
      <c r="O44" s="270" t="s">
        <v>351</v>
      </c>
      <c r="P44" s="324">
        <f>F44/(B44/Conversions!$D$8)*(K20/Conversions!$D$8)</f>
        <v>0.19350934327796582</v>
      </c>
      <c r="Q44" s="271" t="s">
        <v>384</v>
      </c>
      <c r="S44">
        <f>P44/(K20/Conversions!$D$8)</f>
        <v>1.3931009576366273</v>
      </c>
      <c r="T44" t="s">
        <v>365</v>
      </c>
      <c r="U44">
        <f>S44/$S$59*K20</f>
        <v>91.958222352319581</v>
      </c>
      <c r="W44">
        <f t="shared" ref="W44:W57" si="6">S44/$S$58*K20</f>
        <v>47.728856728014726</v>
      </c>
    </row>
    <row r="45" spans="1:23" x14ac:dyDescent="0.25">
      <c r="A45" s="271" t="s">
        <v>398</v>
      </c>
      <c r="B45" s="270">
        <f t="shared" si="4"/>
        <v>247.26665</v>
      </c>
      <c r="C45" s="270" t="s">
        <v>328</v>
      </c>
      <c r="D45" s="273">
        <f>B28*B45/Conversions!$D$8</f>
        <v>6.3036771406778644E-2</v>
      </c>
      <c r="E45" s="270" t="s">
        <v>44</v>
      </c>
      <c r="F45" s="273">
        <f t="shared" si="5"/>
        <v>4.3089527955046822E-2</v>
      </c>
      <c r="G45" s="271" t="s">
        <v>395</v>
      </c>
      <c r="H45" s="270"/>
      <c r="I45" s="272"/>
      <c r="J45" s="271" t="s">
        <v>386</v>
      </c>
      <c r="K45" s="270">
        <f>2*K13+K10</f>
        <v>18.015280000000001</v>
      </c>
      <c r="L45" s="271" t="s">
        <v>328</v>
      </c>
      <c r="M45" s="277">
        <f t="shared" si="3"/>
        <v>1.8015280000000002E-2</v>
      </c>
      <c r="N45" s="271" t="s">
        <v>377</v>
      </c>
      <c r="O45" s="270" t="s">
        <v>353</v>
      </c>
      <c r="P45" s="324">
        <f>F45/(B45/Conversions!$D$8)*(K21/Conversions!$D$8)</f>
        <v>2.4555046641975182E-2</v>
      </c>
      <c r="Q45" s="271" t="s">
        <v>384</v>
      </c>
      <c r="S45">
        <f>P45/(K21/Conversions!$D$8)</f>
        <v>0.17426340331398035</v>
      </c>
      <c r="T45" t="s">
        <v>365</v>
      </c>
      <c r="U45">
        <f t="shared" ref="U45:U57" si="7">S45/$S$59*K21</f>
        <v>11.668885857003714</v>
      </c>
      <c r="W45">
        <f t="shared" si="6"/>
        <v>6.0564739834864714</v>
      </c>
    </row>
    <row r="46" spans="1:23" x14ac:dyDescent="0.25">
      <c r="A46" s="271" t="s">
        <v>399</v>
      </c>
      <c r="B46" s="270">
        <f t="shared" si="4"/>
        <v>250.601</v>
      </c>
      <c r="C46" s="270" t="s">
        <v>328</v>
      </c>
      <c r="D46" s="273">
        <f>B29*B46/Conversions!$D$8</f>
        <v>0.17874419508669404</v>
      </c>
      <c r="E46" s="270" t="s">
        <v>44</v>
      </c>
      <c r="F46" s="273">
        <f t="shared" si="5"/>
        <v>0.12218270097129708</v>
      </c>
      <c r="G46" s="271" t="s">
        <v>395</v>
      </c>
      <c r="H46" s="270"/>
      <c r="I46" s="272"/>
      <c r="J46" s="271" t="s">
        <v>387</v>
      </c>
      <c r="K46" s="270">
        <f>3*K13+1*K35+4*K10</f>
        <v>97.995182</v>
      </c>
      <c r="L46" s="271" t="s">
        <v>328</v>
      </c>
      <c r="M46" s="277">
        <f t="shared" si="3"/>
        <v>9.7995182E-2</v>
      </c>
      <c r="N46" s="271" t="s">
        <v>377</v>
      </c>
      <c r="O46" s="270" t="s">
        <v>355</v>
      </c>
      <c r="P46" s="324">
        <f>F46/(B46/Conversions!$D$8)*(K22/Conversions!$D$8)</f>
        <v>7.0326443843008721E-2</v>
      </c>
      <c r="Q46" s="271" t="s">
        <v>384</v>
      </c>
      <c r="S46">
        <f>P46/(K22/Conversions!$D$8)</f>
        <v>0.48755871273976187</v>
      </c>
      <c r="T46" t="s">
        <v>365</v>
      </c>
      <c r="U46">
        <f t="shared" si="7"/>
        <v>33.420064636743028</v>
      </c>
      <c r="W46">
        <f t="shared" si="6"/>
        <v>17.345936405521048</v>
      </c>
    </row>
    <row r="47" spans="1:23" x14ac:dyDescent="0.25">
      <c r="A47" s="271" t="s">
        <v>400</v>
      </c>
      <c r="B47" s="270">
        <f t="shared" si="4"/>
        <v>256.71900000000005</v>
      </c>
      <c r="C47" s="270" t="s">
        <v>328</v>
      </c>
      <c r="D47" s="273">
        <f>B30*B47/Conversions!$D$8</f>
        <v>1.1616903906936892E-2</v>
      </c>
      <c r="E47" s="270" t="s">
        <v>44</v>
      </c>
      <c r="F47" s="273">
        <f t="shared" si="5"/>
        <v>7.9408715655640543E-3</v>
      </c>
      <c r="G47" s="271" t="s">
        <v>395</v>
      </c>
      <c r="H47" s="270"/>
      <c r="I47" s="272"/>
      <c r="J47" s="271" t="s">
        <v>388</v>
      </c>
      <c r="K47" s="270">
        <f>3*K12+K35+4*K10</f>
        <v>163.94066900000001</v>
      </c>
      <c r="L47" s="271" t="s">
        <v>328</v>
      </c>
      <c r="M47" s="277">
        <f t="shared" si="3"/>
        <v>0.16394066900000001</v>
      </c>
      <c r="N47" s="271" t="s">
        <v>377</v>
      </c>
      <c r="O47" s="270" t="s">
        <v>357</v>
      </c>
      <c r="P47" s="324">
        <f>F47/(B47/Conversions!$D$8)*(K23/Conversions!$D$8)</f>
        <v>4.650958630246344E-3</v>
      </c>
      <c r="Q47" s="271" t="s">
        <v>384</v>
      </c>
      <c r="S47">
        <f>P47/(K23/Conversions!$D$8)</f>
        <v>3.0932153699430323E-2</v>
      </c>
      <c r="T47" t="s">
        <v>365</v>
      </c>
      <c r="U47">
        <f t="shared" si="7"/>
        <v>2.2101976092041902</v>
      </c>
      <c r="W47">
        <f t="shared" si="6"/>
        <v>1.147153591400917</v>
      </c>
    </row>
    <row r="48" spans="1:23" x14ac:dyDescent="0.25">
      <c r="A48" s="271" t="s">
        <v>401</v>
      </c>
      <c r="B48" s="270">
        <f t="shared" si="4"/>
        <v>258.32299999999998</v>
      </c>
      <c r="C48" s="270" t="s">
        <v>328</v>
      </c>
      <c r="D48" s="273">
        <f>B31*B48/Conversions!$D$8</f>
        <v>1.732301488209744E-3</v>
      </c>
      <c r="E48" s="270" t="s">
        <v>44</v>
      </c>
      <c r="F48" s="273">
        <f t="shared" si="5"/>
        <v>1.1841350966581411E-3</v>
      </c>
      <c r="G48" s="271" t="s">
        <v>395</v>
      </c>
      <c r="H48" s="270"/>
      <c r="I48" s="272"/>
      <c r="J48" s="271" t="s">
        <v>389</v>
      </c>
      <c r="K48" s="270">
        <f>K13+K11</f>
        <v>20.006340000000002</v>
      </c>
      <c r="L48" s="271" t="s">
        <v>328</v>
      </c>
      <c r="M48" s="277">
        <f t="shared" si="3"/>
        <v>2.0006340000000001E-2</v>
      </c>
      <c r="N48" s="271" t="s">
        <v>377</v>
      </c>
      <c r="O48" s="270" t="s">
        <v>358</v>
      </c>
      <c r="P48" s="324">
        <f>F48/(B48/Conversions!$D$8)*(K24/Conversions!$D$8)</f>
        <v>6.9659266046212607E-4</v>
      </c>
      <c r="Q48" s="271" t="s">
        <v>384</v>
      </c>
      <c r="S48">
        <f>P48/(K24/Conversions!$D$8)</f>
        <v>4.5839321185420631E-3</v>
      </c>
      <c r="T48" t="s">
        <v>365</v>
      </c>
      <c r="U48">
        <f t="shared" si="7"/>
        <v>0.33103012844064578</v>
      </c>
      <c r="W48">
        <f t="shared" si="6"/>
        <v>0.17181377770077522</v>
      </c>
    </row>
    <row r="49" spans="1:23" x14ac:dyDescent="0.25">
      <c r="A49" s="271" t="s">
        <v>402</v>
      </c>
      <c r="B49" s="270">
        <f t="shared" si="4"/>
        <v>263.60900000000004</v>
      </c>
      <c r="C49" s="270" t="s">
        <v>328</v>
      </c>
      <c r="D49" s="273">
        <f>B32*B49/Conversions!$D$8</f>
        <v>2.4143068296614994E-3</v>
      </c>
      <c r="E49" s="270" t="s">
        <v>44</v>
      </c>
      <c r="F49" s="273">
        <f t="shared" si="5"/>
        <v>1.6503278849330893E-3</v>
      </c>
      <c r="G49" s="271" t="s">
        <v>395</v>
      </c>
      <c r="H49" s="270"/>
      <c r="I49" s="272"/>
      <c r="J49" s="270"/>
      <c r="K49" s="270"/>
      <c r="L49" s="270"/>
      <c r="M49" s="270"/>
      <c r="N49" s="270"/>
      <c r="O49" s="270" t="s">
        <v>361</v>
      </c>
      <c r="P49" s="324">
        <f>F49/(B49/Conversions!$D$8)*(K25/Conversions!$D$8)</f>
        <v>9.8446585627094772E-4</v>
      </c>
      <c r="Q49" s="271" t="s">
        <v>384</v>
      </c>
      <c r="S49">
        <f>P49/(K25/Conversions!$D$8)</f>
        <v>6.2605141893224024E-3</v>
      </c>
      <c r="T49" t="s">
        <v>365</v>
      </c>
      <c r="U49">
        <f t="shared" si="7"/>
        <v>0.46783131282291313</v>
      </c>
      <c r="W49">
        <f t="shared" si="6"/>
        <v>0.2428173700123796</v>
      </c>
    </row>
    <row r="50" spans="1:23" x14ac:dyDescent="0.25">
      <c r="A50" s="271" t="s">
        <v>403</v>
      </c>
      <c r="B50" s="270">
        <f t="shared" si="4"/>
        <v>265.28435000000002</v>
      </c>
      <c r="C50" s="270" t="s">
        <v>328</v>
      </c>
      <c r="D50" s="273">
        <f>B33*B50/Conversions!$D$8</f>
        <v>2.2565397677027545E-4</v>
      </c>
      <c r="E50" s="270" t="s">
        <v>44</v>
      </c>
      <c r="F50" s="273">
        <f t="shared" si="5"/>
        <v>1.5424843505174623E-4</v>
      </c>
      <c r="G50" s="271" t="s">
        <v>395</v>
      </c>
      <c r="H50" s="270"/>
      <c r="I50" s="272"/>
      <c r="J50" s="270"/>
      <c r="K50" s="270"/>
      <c r="L50" s="270"/>
      <c r="M50" s="270"/>
      <c r="N50" s="270"/>
      <c r="O50" s="270" t="s">
        <v>364</v>
      </c>
      <c r="P50" s="324">
        <f>F50/(B50/Conversions!$D$8)*(K26/Conversions!$D$8)</f>
        <v>9.2406455667479222E-5</v>
      </c>
      <c r="Q50" s="271" t="s">
        <v>384</v>
      </c>
      <c r="S50">
        <f>P50/(K26/Conversions!$D$8)</f>
        <v>5.8144566406479023E-4</v>
      </c>
      <c r="T50" t="s">
        <v>365</v>
      </c>
      <c r="U50">
        <f t="shared" si="7"/>
        <v>4.3912780918560421E-2</v>
      </c>
      <c r="W50">
        <f t="shared" si="6"/>
        <v>2.2791945900831143E-2</v>
      </c>
    </row>
    <row r="51" spans="1:23" x14ac:dyDescent="0.25">
      <c r="A51" s="271" t="s">
        <v>404</v>
      </c>
      <c r="B51" s="270">
        <f t="shared" si="4"/>
        <v>268.85900000000004</v>
      </c>
      <c r="C51" s="270" t="s">
        <v>328</v>
      </c>
      <c r="D51" s="273">
        <f>B34*B51/Conversions!$D$8</f>
        <v>4.4978237428491618E-4</v>
      </c>
      <c r="E51" s="270" t="s">
        <v>44</v>
      </c>
      <c r="F51" s="273">
        <f t="shared" si="5"/>
        <v>3.0745404242503931E-4</v>
      </c>
      <c r="G51" s="271" t="s">
        <v>395</v>
      </c>
      <c r="H51" s="270"/>
      <c r="I51" s="272"/>
      <c r="J51" s="270"/>
      <c r="K51" s="270"/>
      <c r="L51" s="270"/>
      <c r="M51" s="270"/>
      <c r="N51" s="270"/>
      <c r="O51" s="270" t="s">
        <v>366</v>
      </c>
      <c r="P51" s="324">
        <f>F51/(B51/Conversions!$D$8)*(K27/Conversions!$D$8)</f>
        <v>1.8582707625212059E-4</v>
      </c>
      <c r="Q51" s="271" t="s">
        <v>384</v>
      </c>
      <c r="S51">
        <f>P51/(K27/Conversions!$D$8)</f>
        <v>1.1435512384745882E-3</v>
      </c>
      <c r="T51" t="s">
        <v>365</v>
      </c>
      <c r="U51">
        <f t="shared" si="7"/>
        <v>8.8307506540020037E-2</v>
      </c>
      <c r="W51">
        <f t="shared" si="6"/>
        <v>4.5834034410850308E-2</v>
      </c>
    </row>
    <row r="52" spans="1:23" x14ac:dyDescent="0.25">
      <c r="A52" s="271" t="s">
        <v>405</v>
      </c>
      <c r="B52" s="270">
        <f t="shared" si="4"/>
        <v>271.28931999999998</v>
      </c>
      <c r="C52" s="270" t="s">
        <v>328</v>
      </c>
      <c r="D52" s="273">
        <f>B35*B52/Conversions!$D$8</f>
        <v>7.3232402449549671E-5</v>
      </c>
      <c r="E52" s="270" t="s">
        <v>44</v>
      </c>
      <c r="F52" s="273">
        <f t="shared" si="5"/>
        <v>5.0058871705250098E-5</v>
      </c>
      <c r="G52" s="271" t="s">
        <v>395</v>
      </c>
      <c r="H52" s="270"/>
      <c r="I52" s="272"/>
      <c r="J52" s="270"/>
      <c r="K52" s="270"/>
      <c r="L52" s="270"/>
      <c r="M52" s="270"/>
      <c r="N52" s="270"/>
      <c r="O52" s="270" t="s">
        <v>367</v>
      </c>
      <c r="P52" s="324">
        <f>F52/(B52/Conversions!$D$8)*(K28/Conversions!$D$8)</f>
        <v>3.0433286976375787E-5</v>
      </c>
      <c r="Q52" s="271" t="s">
        <v>384</v>
      </c>
      <c r="S52">
        <f>P52/(K28/Conversions!$D$8)</f>
        <v>1.8452208772999282E-4</v>
      </c>
      <c r="T52" t="s">
        <v>365</v>
      </c>
      <c r="U52">
        <f t="shared" si="7"/>
        <v>1.4462304110378228E-2</v>
      </c>
      <c r="W52">
        <f t="shared" si="6"/>
        <v>7.5063351942210458E-3</v>
      </c>
    </row>
    <row r="53" spans="1:23" x14ac:dyDescent="0.25">
      <c r="A53" s="271" t="s">
        <v>406</v>
      </c>
      <c r="B53" s="270">
        <f t="shared" si="4"/>
        <v>273.61799999999999</v>
      </c>
      <c r="C53" s="270" t="s">
        <v>328</v>
      </c>
      <c r="D53" s="273">
        <f>B36*B53/Conversions!$D$8</f>
        <v>5.0071761666564708E-5</v>
      </c>
      <c r="E53" s="270" t="s">
        <v>44</v>
      </c>
      <c r="F53" s="273">
        <f t="shared" si="5"/>
        <v>3.4227142760326526E-5</v>
      </c>
      <c r="G53" s="271" t="s">
        <v>395</v>
      </c>
      <c r="H53" s="270"/>
      <c r="I53" s="272"/>
      <c r="J53" s="270"/>
      <c r="K53" s="270"/>
      <c r="L53" s="270"/>
      <c r="M53" s="270"/>
      <c r="N53" s="270"/>
      <c r="O53" s="270" t="s">
        <v>368</v>
      </c>
      <c r="P53" s="324">
        <f>F53/(B53/Conversions!$D$8)*(K29/Conversions!$D$8)</f>
        <v>2.0922591609285409E-5</v>
      </c>
      <c r="Q53" s="271" t="s">
        <v>384</v>
      </c>
      <c r="S53">
        <f>P53/(K29/Conversions!$D$8)</f>
        <v>1.2509097632585039E-4</v>
      </c>
      <c r="T53" t="s">
        <v>365</v>
      </c>
      <c r="U53">
        <f t="shared" si="7"/>
        <v>9.9426947495228398E-3</v>
      </c>
      <c r="W53">
        <f t="shared" si="6"/>
        <v>5.1605331317976441E-3</v>
      </c>
    </row>
    <row r="54" spans="1:23" x14ac:dyDescent="0.25">
      <c r="A54" s="271" t="s">
        <v>407</v>
      </c>
      <c r="B54" s="270">
        <f t="shared" si="4"/>
        <v>275.29321000000004</v>
      </c>
      <c r="C54" s="270" t="s">
        <v>328</v>
      </c>
      <c r="D54" s="273">
        <f>B37*B54/Conversions!$D$8</f>
        <v>1.2841944659530283E-5</v>
      </c>
      <c r="E54" s="270" t="s">
        <v>44</v>
      </c>
      <c r="F54" s="273">
        <f t="shared" si="5"/>
        <v>8.778262608552469E-6</v>
      </c>
      <c r="G54" s="271" t="s">
        <v>395</v>
      </c>
      <c r="H54" s="270"/>
      <c r="I54" s="272"/>
      <c r="J54" s="270"/>
      <c r="K54" s="270"/>
      <c r="L54" s="270"/>
      <c r="M54" s="270"/>
      <c r="N54" s="270"/>
      <c r="O54" s="270" t="s">
        <v>369</v>
      </c>
      <c r="P54" s="324">
        <f>F54/(B54/Conversions!$D$8)*(K30/Conversions!$D$8)</f>
        <v>5.3867978035068505E-6</v>
      </c>
      <c r="Q54" s="271" t="s">
        <v>384</v>
      </c>
      <c r="S54">
        <f>P54/(K30/Conversions!$D$8)</f>
        <v>3.1886956487421052E-5</v>
      </c>
      <c r="T54" t="s">
        <v>365</v>
      </c>
      <c r="U54">
        <f t="shared" si="7"/>
        <v>2.5598782042803537E-3</v>
      </c>
      <c r="W54">
        <f t="shared" si="6"/>
        <v>1.3286474762980532E-3</v>
      </c>
    </row>
    <row r="55" spans="1:23" x14ac:dyDescent="0.25">
      <c r="A55" s="271" t="s">
        <v>408</v>
      </c>
      <c r="B55" s="270">
        <f t="shared" si="4"/>
        <v>279.399</v>
      </c>
      <c r="C55" s="270" t="s">
        <v>328</v>
      </c>
      <c r="D55" s="273">
        <f>B38*B55/Conversions!$D$8</f>
        <v>8.5079255843129617E-6</v>
      </c>
      <c r="E55" s="270" t="s">
        <v>44</v>
      </c>
      <c r="F55" s="273">
        <f t="shared" si="5"/>
        <v>5.8156927952260082E-6</v>
      </c>
      <c r="G55" s="271" t="s">
        <v>395</v>
      </c>
      <c r="H55" s="270"/>
      <c r="I55" s="272"/>
      <c r="J55" s="270"/>
      <c r="K55" s="270"/>
      <c r="L55" s="270"/>
      <c r="M55" s="270"/>
      <c r="N55" s="270"/>
      <c r="O55" s="270" t="s">
        <v>370</v>
      </c>
      <c r="P55" s="324">
        <f>F55/(B55/Conversions!$D$8)*(K31/Conversions!$D$8)</f>
        <v>3.6018292165895672E-6</v>
      </c>
      <c r="Q55" s="271" t="s">
        <v>384</v>
      </c>
      <c r="S55">
        <f>P55/(K31/Conversions!$D$8)</f>
        <v>2.0815009342288299E-5</v>
      </c>
      <c r="T55" t="s">
        <v>365</v>
      </c>
      <c r="U55">
        <f t="shared" si="7"/>
        <v>1.7116373109615063E-3</v>
      </c>
      <c r="W55">
        <f t="shared" si="6"/>
        <v>8.883870294078759E-4</v>
      </c>
    </row>
    <row r="56" spans="1:23" x14ac:dyDescent="0.25">
      <c r="A56" s="271" t="s">
        <v>409</v>
      </c>
      <c r="B56" s="270">
        <f t="shared" si="4"/>
        <v>281.32600000000002</v>
      </c>
      <c r="C56" s="270" t="s">
        <v>328</v>
      </c>
      <c r="D56" s="273">
        <f>B39*B56/Conversions!$D$8</f>
        <v>1.4139393595190335E-6</v>
      </c>
      <c r="E56" s="270" t="s">
        <v>44</v>
      </c>
      <c r="F56" s="273">
        <f t="shared" si="5"/>
        <v>9.6651491183739029E-7</v>
      </c>
      <c r="G56" s="271" t="s">
        <v>395</v>
      </c>
      <c r="H56" s="270"/>
      <c r="I56" s="272"/>
      <c r="J56" s="270"/>
      <c r="K56" s="270"/>
      <c r="L56" s="270"/>
      <c r="M56" s="270"/>
      <c r="N56" s="270"/>
      <c r="O56" s="270" t="s">
        <v>371</v>
      </c>
      <c r="P56" s="324">
        <f>F56/(B56/Conversions!$D$8)*(K32/Conversions!$D$8)</f>
        <v>6.0111121822886141E-7</v>
      </c>
      <c r="Q56" s="271" t="s">
        <v>384</v>
      </c>
      <c r="S56">
        <f>P56/(K32/Conversions!$D$8)</f>
        <v>3.4355690971946789E-6</v>
      </c>
      <c r="T56" t="s">
        <v>365</v>
      </c>
      <c r="U56">
        <f t="shared" si="7"/>
        <v>2.8565607286962219E-4</v>
      </c>
      <c r="W56">
        <f t="shared" si="6"/>
        <v>1.4826338990379172E-4</v>
      </c>
    </row>
    <row r="57" spans="1:23" x14ac:dyDescent="0.25">
      <c r="A57" s="271" t="s">
        <v>410</v>
      </c>
      <c r="B57" s="270">
        <f t="shared" si="4"/>
        <v>195.26485000000002</v>
      </c>
      <c r="C57" s="270" t="s">
        <v>328</v>
      </c>
      <c r="D57" s="273">
        <f>B40*B57/Conversions!$D$8</f>
        <v>1.5789990434431796E-3</v>
      </c>
      <c r="E57" s="270" t="s">
        <v>44</v>
      </c>
      <c r="F57" s="273">
        <f t="shared" si="5"/>
        <v>1.0793434039377307E-3</v>
      </c>
      <c r="G57" s="271" t="s">
        <v>395</v>
      </c>
      <c r="H57" s="270"/>
      <c r="I57" s="272"/>
      <c r="J57" s="270"/>
      <c r="K57" s="270"/>
      <c r="L57" s="270"/>
      <c r="M57" s="270"/>
      <c r="N57" s="270"/>
      <c r="O57" s="270" t="s">
        <v>372</v>
      </c>
      <c r="P57" s="324">
        <f>F57/(B57/Conversions!$D$8)*(K33/Conversions!$D$8)</f>
        <v>4.9143480134277763E-4</v>
      </c>
      <c r="Q57" s="271" t="s">
        <v>384</v>
      </c>
      <c r="S57">
        <f>P57/(K33/Conversions!$D$8)</f>
        <v>5.5275867824533219E-3</v>
      </c>
      <c r="T57" t="s">
        <v>365</v>
      </c>
      <c r="U57">
        <f t="shared" si="7"/>
        <v>0.23353637590838197</v>
      </c>
      <c r="W57">
        <f t="shared" si="6"/>
        <v>0.12121182795167193</v>
      </c>
    </row>
    <row r="58" spans="1:23" x14ac:dyDescent="0.25">
      <c r="A58" s="270"/>
      <c r="B58" s="270"/>
      <c r="C58" s="270"/>
      <c r="D58" s="280">
        <f>SUM(D43:D57)</f>
        <v>1.4629255505546916</v>
      </c>
      <c r="E58" s="270" t="s">
        <v>44</v>
      </c>
      <c r="F58" s="275">
        <f>SUM(F43:F57)</f>
        <v>1.0000000000000004</v>
      </c>
      <c r="G58" s="270"/>
      <c r="H58" s="270"/>
      <c r="I58" s="272"/>
      <c r="J58" s="270"/>
      <c r="K58" s="270"/>
      <c r="L58" s="270"/>
      <c r="M58" s="270"/>
      <c r="N58" s="270"/>
      <c r="O58" s="271" t="s">
        <v>75</v>
      </c>
      <c r="P58" s="279">
        <f>SUM(P43:P57)</f>
        <v>0.56878371591874399</v>
      </c>
      <c r="Q58" s="271" t="s">
        <v>384</v>
      </c>
      <c r="S58">
        <f>SUM(S43:S57)</f>
        <v>4.0543469201596105</v>
      </c>
      <c r="T58" t="s">
        <v>365</v>
      </c>
      <c r="W58">
        <f>SUM(W43:W57)</f>
        <v>140.28984867835445</v>
      </c>
    </row>
    <row r="59" spans="1:23" x14ac:dyDescent="0.25">
      <c r="A59" s="270"/>
      <c r="B59" s="270" t="s">
        <v>390</v>
      </c>
      <c r="C59" s="270"/>
      <c r="D59" s="270"/>
      <c r="E59" s="270"/>
      <c r="F59" s="270"/>
      <c r="G59" s="270"/>
      <c r="H59" s="270"/>
      <c r="I59" s="272"/>
      <c r="J59" s="270"/>
      <c r="K59" s="270"/>
      <c r="L59" s="270"/>
      <c r="M59" s="270"/>
      <c r="N59" s="270"/>
      <c r="O59" s="271" t="s">
        <v>391</v>
      </c>
      <c r="P59" s="281">
        <f>SUM(P44:P57)</f>
        <v>0.29555346486001555</v>
      </c>
      <c r="Q59" s="271" t="s">
        <v>392</v>
      </c>
      <c r="R59" s="270"/>
      <c r="S59">
        <f>SUM(S44:S57)</f>
        <v>2.1043180079816395</v>
      </c>
      <c r="T59" t="s">
        <v>365</v>
      </c>
      <c r="U59" s="260">
        <f>SUM(U44:U57)</f>
        <v>140.45095073034904</v>
      </c>
      <c r="V59" t="s">
        <v>328</v>
      </c>
    </row>
    <row r="62" spans="1:23" x14ac:dyDescent="0.25">
      <c r="B62" s="243">
        <f>SUM(B27:B40)</f>
        <v>3.0784605803686924</v>
      </c>
      <c r="C62" s="243">
        <f>B62*0.72</f>
        <v>2.2164916178654583</v>
      </c>
    </row>
    <row r="63" spans="1:23" x14ac:dyDescent="0.25">
      <c r="F63" s="243" t="s">
        <v>411</v>
      </c>
      <c r="I63" s="243" t="s">
        <v>412</v>
      </c>
    </row>
    <row r="64" spans="1:23" x14ac:dyDescent="0.25">
      <c r="A64" s="243" t="str">
        <f>A43&amp;"∙6H₂O"</f>
        <v>CeCl₃∙6H₂O</v>
      </c>
      <c r="B64" s="243">
        <f>B43+6*$K$45</f>
        <v>354.56668000000002</v>
      </c>
      <c r="C64" s="243" t="s">
        <v>328</v>
      </c>
      <c r="D64" s="273">
        <f>B26*B64/1000</f>
        <v>1.0114890751986465</v>
      </c>
      <c r="E64" s="270" t="s">
        <v>44</v>
      </c>
      <c r="F64" s="280">
        <f>D64/$D$79</f>
        <v>0.48073667460210784</v>
      </c>
      <c r="G64" s="243" t="s">
        <v>415</v>
      </c>
      <c r="I64" s="242">
        <v>0</v>
      </c>
      <c r="J64" s="243" t="s">
        <v>415</v>
      </c>
      <c r="M64" s="282"/>
      <c r="N64" s="325"/>
    </row>
    <row r="65" spans="1:14" x14ac:dyDescent="0.25">
      <c r="A65" s="243" t="str">
        <f t="shared" ref="A65:A78" si="8">A44&amp;"∙6H₂O"</f>
        <v>LaCl₃∙6H₂O</v>
      </c>
      <c r="B65" s="243">
        <f t="shared" ref="B65:B78" si="9">B44+6*$K$45</f>
        <v>353.35615000000001</v>
      </c>
      <c r="C65" s="243" t="s">
        <v>328</v>
      </c>
      <c r="D65" s="273">
        <f t="shared" ref="D65:D78" si="10">B27*B65/1000</f>
        <v>0.72014088861963788</v>
      </c>
      <c r="E65" s="270" t="s">
        <v>44</v>
      </c>
      <c r="F65" s="280">
        <f t="shared" ref="F65:F78" si="11">D65/$D$79</f>
        <v>0.34226581831545905</v>
      </c>
      <c r="G65" s="243" t="s">
        <v>415</v>
      </c>
      <c r="I65" s="284">
        <f>D65/$D$80</f>
        <v>0.65913728463914423</v>
      </c>
      <c r="J65" s="243" t="s">
        <v>415</v>
      </c>
      <c r="M65" s="282"/>
      <c r="N65" s="325"/>
    </row>
    <row r="66" spans="1:14" x14ac:dyDescent="0.25">
      <c r="A66" s="243" t="str">
        <f t="shared" si="8"/>
        <v>PrCl₃∙6H₂O</v>
      </c>
      <c r="B66" s="243">
        <f t="shared" si="9"/>
        <v>355.35833000000002</v>
      </c>
      <c r="C66" s="243" t="s">
        <v>328</v>
      </c>
      <c r="D66" s="273">
        <f t="shared" si="10"/>
        <v>9.0593057396557972E-2</v>
      </c>
      <c r="E66" s="270" t="s">
        <v>44</v>
      </c>
      <c r="F66" s="280">
        <f t="shared" si="11"/>
        <v>4.3056723223932107E-2</v>
      </c>
      <c r="G66" s="243" t="s">
        <v>415</v>
      </c>
      <c r="I66" s="284">
        <f t="shared" ref="I66:I78" si="12">D66/$D$80</f>
        <v>8.2918860466294889E-2</v>
      </c>
      <c r="J66" s="243" t="s">
        <v>415</v>
      </c>
      <c r="M66" s="282"/>
      <c r="N66" s="325"/>
    </row>
    <row r="67" spans="1:14" x14ac:dyDescent="0.25">
      <c r="A67" s="243" t="str">
        <f t="shared" si="8"/>
        <v>NdCl₃∙6H₂O</v>
      </c>
      <c r="B67" s="243">
        <f t="shared" si="9"/>
        <v>358.69268</v>
      </c>
      <c r="C67" s="243" t="s">
        <v>328</v>
      </c>
      <c r="D67" s="273">
        <f t="shared" si="10"/>
        <v>0.25584189356821851</v>
      </c>
      <c r="E67" s="270" t="s">
        <v>44</v>
      </c>
      <c r="F67" s="280">
        <f t="shared" si="11"/>
        <v>0.12159556059835569</v>
      </c>
      <c r="G67" s="243" t="s">
        <v>415</v>
      </c>
      <c r="I67" s="284">
        <f t="shared" si="12"/>
        <v>0.23416936003554942</v>
      </c>
      <c r="J67" s="243" t="s">
        <v>415</v>
      </c>
      <c r="M67" s="282"/>
      <c r="N67" s="325"/>
    </row>
    <row r="68" spans="1:14" x14ac:dyDescent="0.25">
      <c r="A68" s="243" t="str">
        <f t="shared" si="8"/>
        <v>SmCl₃∙6H₂O</v>
      </c>
      <c r="B68" s="243">
        <f t="shared" si="9"/>
        <v>364.81068000000005</v>
      </c>
      <c r="C68" s="243" t="s">
        <v>328</v>
      </c>
      <c r="D68" s="273">
        <f t="shared" si="10"/>
        <v>1.6508207860673745E-2</v>
      </c>
      <c r="E68" s="270" t="s">
        <v>44</v>
      </c>
      <c r="F68" s="280">
        <f t="shared" si="11"/>
        <v>7.8459581474195367E-3</v>
      </c>
      <c r="G68" s="243" t="s">
        <v>415</v>
      </c>
      <c r="I68" s="284">
        <f t="shared" si="12"/>
        <v>1.510978681463296E-2</v>
      </c>
      <c r="J68" s="243" t="s">
        <v>415</v>
      </c>
      <c r="M68" s="282"/>
      <c r="N68" s="325"/>
    </row>
    <row r="69" spans="1:14" x14ac:dyDescent="0.25">
      <c r="A69" s="243" t="str">
        <f t="shared" si="8"/>
        <v>EuCl₃∙6H₂O</v>
      </c>
      <c r="B69" s="243">
        <f t="shared" si="9"/>
        <v>366.41467999999998</v>
      </c>
      <c r="C69" s="243" t="s">
        <v>328</v>
      </c>
      <c r="D69" s="273">
        <f t="shared" si="10"/>
        <v>2.4571590430039029E-3</v>
      </c>
      <c r="E69" s="270" t="s">
        <v>44</v>
      </c>
      <c r="F69" s="280">
        <f t="shared" si="11"/>
        <v>1.1678291899200285E-3</v>
      </c>
      <c r="G69" s="243" t="s">
        <v>415</v>
      </c>
      <c r="I69" s="284">
        <f t="shared" si="12"/>
        <v>2.249011499175614E-3</v>
      </c>
      <c r="J69" s="243" t="s">
        <v>415</v>
      </c>
      <c r="M69" s="282"/>
      <c r="N69" s="325"/>
    </row>
    <row r="70" spans="1:14" x14ac:dyDescent="0.25">
      <c r="A70" s="243" t="str">
        <f t="shared" si="8"/>
        <v>GdCl₃∙6H₂O</v>
      </c>
      <c r="B70" s="243">
        <f t="shared" si="9"/>
        <v>371.70068000000003</v>
      </c>
      <c r="C70" s="243" t="s">
        <v>328</v>
      </c>
      <c r="D70" s="273">
        <f t="shared" si="10"/>
        <v>3.4042824422300584E-3</v>
      </c>
      <c r="E70" s="270" t="s">
        <v>44</v>
      </c>
      <c r="F70" s="280">
        <f t="shared" si="11"/>
        <v>1.6179743912336528E-3</v>
      </c>
      <c r="G70" s="243" t="s">
        <v>415</v>
      </c>
      <c r="I70" s="284">
        <f t="shared" si="12"/>
        <v>3.1159034580265396E-3</v>
      </c>
      <c r="J70" s="243" t="s">
        <v>415</v>
      </c>
      <c r="M70" s="282"/>
      <c r="N70" s="325"/>
    </row>
    <row r="71" spans="1:14" x14ac:dyDescent="0.25">
      <c r="A71" s="243" t="str">
        <f t="shared" si="8"/>
        <v>TbCl₃∙6H₂O</v>
      </c>
      <c r="B71" s="243">
        <f t="shared" si="9"/>
        <v>373.37603000000001</v>
      </c>
      <c r="C71" s="243" t="s">
        <v>328</v>
      </c>
      <c r="D71" s="273">
        <f t="shared" si="10"/>
        <v>3.17598026420321E-4</v>
      </c>
      <c r="E71" s="270" t="s">
        <v>44</v>
      </c>
      <c r="F71" s="280">
        <f t="shared" si="11"/>
        <v>1.5094678017309526E-4</v>
      </c>
      <c r="G71" s="243" t="s">
        <v>415</v>
      </c>
      <c r="I71" s="284">
        <f t="shared" si="12"/>
        <v>2.906940906281612E-4</v>
      </c>
      <c r="J71" s="243" t="s">
        <v>415</v>
      </c>
      <c r="M71" s="282"/>
      <c r="N71" s="325"/>
    </row>
    <row r="72" spans="1:14" x14ac:dyDescent="0.25">
      <c r="A72" s="243" t="str">
        <f t="shared" si="8"/>
        <v>DyCl₃∙6H₂O</v>
      </c>
      <c r="B72" s="243">
        <f t="shared" si="9"/>
        <v>376.95068000000003</v>
      </c>
      <c r="C72" s="243" t="s">
        <v>328</v>
      </c>
      <c r="D72" s="273">
        <f t="shared" si="10"/>
        <v>6.3061222365148146E-4</v>
      </c>
      <c r="E72" s="270" t="s">
        <v>44</v>
      </c>
      <c r="F72" s="280">
        <f t="shared" si="11"/>
        <v>2.9971497547031495E-4</v>
      </c>
      <c r="G72" s="243" t="s">
        <v>415</v>
      </c>
      <c r="I72" s="284">
        <f t="shared" si="12"/>
        <v>5.771926512249916E-4</v>
      </c>
      <c r="J72" s="243" t="s">
        <v>415</v>
      </c>
      <c r="M72" s="282"/>
      <c r="N72" s="325"/>
    </row>
    <row r="73" spans="1:14" x14ac:dyDescent="0.25">
      <c r="A73" s="243" t="str">
        <f t="shared" si="8"/>
        <v>HoCl₃∙6H₂O</v>
      </c>
      <c r="B73" s="243">
        <f t="shared" si="9"/>
        <v>379.38099999999997</v>
      </c>
      <c r="C73" s="243" t="s">
        <v>328</v>
      </c>
      <c r="D73" s="273">
        <f t="shared" si="10"/>
        <v>1.0241089503159433E-4</v>
      </c>
      <c r="E73" s="270" t="s">
        <v>44</v>
      </c>
      <c r="F73" s="280">
        <f t="shared" si="11"/>
        <v>4.867346007750541E-5</v>
      </c>
      <c r="G73" s="243" t="s">
        <v>415</v>
      </c>
      <c r="I73" s="284">
        <f t="shared" si="12"/>
        <v>9.3735601373751438E-5</v>
      </c>
      <c r="J73" s="243" t="s">
        <v>415</v>
      </c>
      <c r="M73" s="282"/>
      <c r="N73" s="325"/>
    </row>
    <row r="74" spans="1:14" x14ac:dyDescent="0.25">
      <c r="A74" s="243" t="str">
        <f t="shared" si="8"/>
        <v>ErCl₃∙6H₂O</v>
      </c>
      <c r="B74" s="243">
        <f t="shared" si="9"/>
        <v>381.70967999999999</v>
      </c>
      <c r="C74" s="243" t="s">
        <v>328</v>
      </c>
      <c r="D74" s="273">
        <f t="shared" si="10"/>
        <v>6.9852407819590389E-5</v>
      </c>
      <c r="E74" s="270" t="s">
        <v>44</v>
      </c>
      <c r="F74" s="280">
        <f t="shared" si="11"/>
        <v>3.3199186300203249E-5</v>
      </c>
      <c r="G74" s="243" t="s">
        <v>415</v>
      </c>
      <c r="I74" s="284">
        <f t="shared" si="12"/>
        <v>6.3935164831377107E-5</v>
      </c>
      <c r="J74" s="243" t="s">
        <v>415</v>
      </c>
      <c r="M74" s="282"/>
      <c r="N74" s="325"/>
    </row>
    <row r="75" spans="1:14" x14ac:dyDescent="0.25">
      <c r="A75" s="243" t="str">
        <f t="shared" si="8"/>
        <v>TmCl₃∙6H₂O</v>
      </c>
      <c r="B75" s="243">
        <f t="shared" si="9"/>
        <v>383.38489000000004</v>
      </c>
      <c r="C75" s="243" t="s">
        <v>328</v>
      </c>
      <c r="D75" s="273">
        <f t="shared" si="10"/>
        <v>1.7884231654969276E-5</v>
      </c>
      <c r="E75" s="270" t="s">
        <v>44</v>
      </c>
      <c r="F75" s="280">
        <f t="shared" si="11"/>
        <v>8.4999494946944399E-6</v>
      </c>
      <c r="G75" s="243" t="s">
        <v>415</v>
      </c>
      <c r="I75" s="284">
        <f t="shared" si="12"/>
        <v>1.6369246736578677E-5</v>
      </c>
      <c r="J75" s="243" t="s">
        <v>415</v>
      </c>
      <c r="M75" s="282"/>
      <c r="N75" s="325"/>
    </row>
    <row r="76" spans="1:14" x14ac:dyDescent="0.25">
      <c r="A76" s="243" t="str">
        <f t="shared" si="8"/>
        <v>YbCl₃∙6H₂O</v>
      </c>
      <c r="B76" s="243">
        <f t="shared" si="9"/>
        <v>387.49068</v>
      </c>
      <c r="C76" s="243" t="s">
        <v>328</v>
      </c>
      <c r="D76" s="273">
        <f t="shared" si="10"/>
        <v>1.1799404686684015E-5</v>
      </c>
      <c r="E76" s="270" t="s">
        <v>44</v>
      </c>
      <c r="F76" s="280">
        <f t="shared" si="11"/>
        <v>5.6079761120969049E-6</v>
      </c>
      <c r="G76" s="243" t="s">
        <v>415</v>
      </c>
      <c r="I76" s="284">
        <f t="shared" si="12"/>
        <v>1.0799869426171625E-5</v>
      </c>
      <c r="J76" s="243" t="s">
        <v>415</v>
      </c>
      <c r="M76" s="282"/>
      <c r="N76" s="325"/>
    </row>
    <row r="77" spans="1:14" x14ac:dyDescent="0.25">
      <c r="A77" s="243" t="str">
        <f t="shared" si="8"/>
        <v>LuCl₃∙6H₂O</v>
      </c>
      <c r="B77" s="243">
        <f t="shared" si="9"/>
        <v>389.41768000000002</v>
      </c>
      <c r="C77" s="243" t="s">
        <v>328</v>
      </c>
      <c r="D77" s="273">
        <f t="shared" si="10"/>
        <v>1.9572061773337267E-6</v>
      </c>
      <c r="E77" s="270" t="s">
        <v>44</v>
      </c>
      <c r="F77" s="280">
        <f t="shared" si="11"/>
        <v>9.3021349639128384E-7</v>
      </c>
      <c r="G77" s="243" t="s">
        <v>415</v>
      </c>
      <c r="I77" s="284">
        <f t="shared" si="12"/>
        <v>1.7914099665684951E-6</v>
      </c>
      <c r="J77" s="243" t="s">
        <v>415</v>
      </c>
      <c r="M77" s="282"/>
      <c r="N77" s="325"/>
    </row>
    <row r="78" spans="1:14" x14ac:dyDescent="0.25">
      <c r="A78" s="243" t="str">
        <f t="shared" si="8"/>
        <v>YCl₃∙6H₂O</v>
      </c>
      <c r="B78" s="243">
        <f t="shared" si="9"/>
        <v>303.35653000000002</v>
      </c>
      <c r="C78" s="243" t="s">
        <v>328</v>
      </c>
      <c r="D78" s="273">
        <f t="shared" si="10"/>
        <v>2.4530767861816512E-3</v>
      </c>
      <c r="E78" s="270" t="s">
        <v>44</v>
      </c>
      <c r="F78" s="280">
        <f t="shared" si="11"/>
        <v>1.1658889904480611E-3</v>
      </c>
      <c r="G78" s="243" t="s">
        <v>415</v>
      </c>
      <c r="I78" s="284">
        <f t="shared" si="12"/>
        <v>2.2452750529891236E-3</v>
      </c>
      <c r="J78" s="243" t="s">
        <v>415</v>
      </c>
      <c r="M78" s="282"/>
      <c r="N78" s="325"/>
    </row>
    <row r="79" spans="1:14" x14ac:dyDescent="0.25">
      <c r="C79" s="285" t="s">
        <v>414</v>
      </c>
      <c r="D79" s="280">
        <f>SUM(D64:D78)</f>
        <v>2.1040397553105916</v>
      </c>
      <c r="E79" s="270" t="s">
        <v>44</v>
      </c>
      <c r="F79" s="280">
        <f>SUM(F64:F78)</f>
        <v>1.0000000000000002</v>
      </c>
      <c r="I79" s="280">
        <f>SUM(I65:I78)</f>
        <v>1.0000000000000007</v>
      </c>
    </row>
    <row r="80" spans="1:14" x14ac:dyDescent="0.25">
      <c r="C80" s="285" t="s">
        <v>413</v>
      </c>
      <c r="D80" s="283">
        <f>SUM(D65:D78)</f>
        <v>1.0925506801119453</v>
      </c>
      <c r="E80" s="243" t="s">
        <v>44</v>
      </c>
    </row>
    <row r="82" spans="4:7" x14ac:dyDescent="0.25">
      <c r="D82" s="283">
        <f>D79/B24</f>
        <v>2.1069557821130362</v>
      </c>
      <c r="F82" s="283">
        <f>F79/D82</f>
        <v>0.4746184084590111</v>
      </c>
      <c r="G82" s="243" t="s">
        <v>768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N121"/>
  <sheetViews>
    <sheetView workbookViewId="0"/>
  </sheetViews>
  <sheetFormatPr defaultRowHeight="15" x14ac:dyDescent="0.25"/>
  <cols>
    <col min="34" max="34" width="23.28515625" customWidth="1"/>
  </cols>
  <sheetData>
    <row r="3" spans="1:31" x14ac:dyDescent="0.25">
      <c r="A3" t="s">
        <v>701</v>
      </c>
    </row>
    <row r="4" spans="1:31" x14ac:dyDescent="0.25">
      <c r="B4" t="s">
        <v>351</v>
      </c>
      <c r="C4" t="s">
        <v>349</v>
      </c>
      <c r="D4" t="s">
        <v>353</v>
      </c>
      <c r="E4" t="s">
        <v>355</v>
      </c>
      <c r="F4" t="s">
        <v>357</v>
      </c>
      <c r="G4" t="s">
        <v>358</v>
      </c>
      <c r="H4" t="s">
        <v>361</v>
      </c>
      <c r="I4" t="s">
        <v>364</v>
      </c>
      <c r="J4" t="s">
        <v>366</v>
      </c>
      <c r="K4" t="s">
        <v>367</v>
      </c>
      <c r="L4" t="s">
        <v>368</v>
      </c>
      <c r="M4" t="s">
        <v>369</v>
      </c>
      <c r="N4" t="s">
        <v>370</v>
      </c>
      <c r="O4" t="s">
        <v>371</v>
      </c>
      <c r="R4" t="s">
        <v>351</v>
      </c>
      <c r="S4" t="s">
        <v>349</v>
      </c>
      <c r="T4" t="s">
        <v>353</v>
      </c>
      <c r="U4" t="s">
        <v>355</v>
      </c>
      <c r="V4" t="s">
        <v>357</v>
      </c>
      <c r="W4" t="s">
        <v>358</v>
      </c>
      <c r="X4" t="s">
        <v>361</v>
      </c>
      <c r="Y4" t="s">
        <v>364</v>
      </c>
      <c r="Z4" t="s">
        <v>366</v>
      </c>
      <c r="AA4" t="s">
        <v>367</v>
      </c>
      <c r="AB4" t="s">
        <v>368</v>
      </c>
      <c r="AC4" t="s">
        <v>369</v>
      </c>
      <c r="AD4" t="s">
        <v>370</v>
      </c>
      <c r="AE4" t="s">
        <v>371</v>
      </c>
    </row>
    <row r="5" spans="1:31" x14ac:dyDescent="0.25">
      <c r="A5" t="s">
        <v>351</v>
      </c>
      <c r="B5" s="287"/>
      <c r="C5" s="288">
        <v>2.14</v>
      </c>
      <c r="D5" s="288">
        <v>2.2799999999999998</v>
      </c>
      <c r="E5" s="288">
        <v>2.4300000000000002</v>
      </c>
      <c r="F5" s="288">
        <v>11.8</v>
      </c>
      <c r="G5" s="288">
        <v>26.3</v>
      </c>
      <c r="H5" s="288">
        <v>44.6</v>
      </c>
      <c r="I5" s="288">
        <v>71.099999999999994</v>
      </c>
      <c r="J5" s="288">
        <v>101</v>
      </c>
      <c r="K5" s="288">
        <v>125</v>
      </c>
      <c r="L5" s="288">
        <v>212</v>
      </c>
      <c r="M5" s="288">
        <v>319</v>
      </c>
      <c r="N5" s="288">
        <v>414</v>
      </c>
      <c r="O5" s="289">
        <v>425</v>
      </c>
      <c r="Q5" t="s">
        <v>351</v>
      </c>
      <c r="R5" s="287">
        <f>IFERROR(ROUND($E$39*C5^$F$39+$E$43,0),"")</f>
        <v>6</v>
      </c>
      <c r="S5" s="288">
        <f t="shared" ref="S5:AD18" si="0">IFERROR(ROUND($E$39*D5^$F$39+$E$43,0),"")</f>
        <v>6</v>
      </c>
      <c r="T5" s="288">
        <f t="shared" si="0"/>
        <v>6</v>
      </c>
      <c r="U5" s="288">
        <f t="shared" si="0"/>
        <v>4</v>
      </c>
      <c r="V5" s="288">
        <f t="shared" si="0"/>
        <v>3</v>
      </c>
      <c r="W5" s="288">
        <f t="shared" si="0"/>
        <v>3</v>
      </c>
      <c r="X5" s="288">
        <f t="shared" si="0"/>
        <v>2</v>
      </c>
      <c r="Y5" s="288">
        <f t="shared" si="0"/>
        <v>2</v>
      </c>
      <c r="Z5" s="288">
        <f t="shared" si="0"/>
        <v>2</v>
      </c>
      <c r="AA5" s="288">
        <f t="shared" si="0"/>
        <v>2</v>
      </c>
      <c r="AB5" s="288">
        <f t="shared" si="0"/>
        <v>2</v>
      </c>
      <c r="AC5" s="288">
        <f t="shared" si="0"/>
        <v>2</v>
      </c>
      <c r="AD5" s="289">
        <f t="shared" si="0"/>
        <v>2</v>
      </c>
    </row>
    <row r="6" spans="1:31" x14ac:dyDescent="0.25">
      <c r="A6" t="s">
        <v>349</v>
      </c>
      <c r="B6" s="212"/>
      <c r="C6" s="290"/>
      <c r="D6" s="290">
        <v>1.07</v>
      </c>
      <c r="E6" s="290">
        <v>1.1399999999999999</v>
      </c>
      <c r="F6" s="290">
        <v>5.2</v>
      </c>
      <c r="G6" s="290">
        <v>12.3</v>
      </c>
      <c r="H6" s="290">
        <v>20.9</v>
      </c>
      <c r="I6" s="290">
        <v>33.299999999999997</v>
      </c>
      <c r="J6" s="290">
        <v>47.2</v>
      </c>
      <c r="K6" s="290">
        <v>58.4</v>
      </c>
      <c r="L6" s="290">
        <v>99.1</v>
      </c>
      <c r="M6" s="290">
        <v>149</v>
      </c>
      <c r="N6" s="290">
        <v>193</v>
      </c>
      <c r="O6" s="291">
        <v>199</v>
      </c>
      <c r="Q6" t="s">
        <v>349</v>
      </c>
      <c r="R6" s="212" t="str">
        <f t="shared" ref="R6:R18" si="1">IFERROR(ROUND($E$39*C6^$F$39+$E$43,0),"")</f>
        <v/>
      </c>
      <c r="S6" s="290">
        <f t="shared" si="0"/>
        <v>7</v>
      </c>
      <c r="T6" s="290">
        <f t="shared" si="0"/>
        <v>7</v>
      </c>
      <c r="U6" s="290">
        <f t="shared" si="0"/>
        <v>5</v>
      </c>
      <c r="V6" s="290">
        <f t="shared" si="0"/>
        <v>4</v>
      </c>
      <c r="W6" s="290">
        <f t="shared" si="0"/>
        <v>3</v>
      </c>
      <c r="X6" s="290">
        <f t="shared" si="0"/>
        <v>3</v>
      </c>
      <c r="Y6" s="290">
        <f t="shared" si="0"/>
        <v>3</v>
      </c>
      <c r="Z6" s="290">
        <f t="shared" si="0"/>
        <v>3</v>
      </c>
      <c r="AA6" s="290">
        <f t="shared" si="0"/>
        <v>2</v>
      </c>
      <c r="AB6" s="290">
        <f t="shared" si="0"/>
        <v>2</v>
      </c>
      <c r="AC6" s="290">
        <f t="shared" si="0"/>
        <v>2</v>
      </c>
      <c r="AD6" s="291">
        <f t="shared" si="0"/>
        <v>2</v>
      </c>
    </row>
    <row r="7" spans="1:31" x14ac:dyDescent="0.25">
      <c r="A7" t="s">
        <v>353</v>
      </c>
      <c r="B7" s="212"/>
      <c r="C7" s="290"/>
      <c r="D7" s="290"/>
      <c r="E7" s="290">
        <v>1.06</v>
      </c>
      <c r="F7" s="290">
        <v>5.16</v>
      </c>
      <c r="G7" s="290">
        <v>11.5</v>
      </c>
      <c r="H7" s="290">
        <v>19.5</v>
      </c>
      <c r="I7" s="290">
        <v>31.1</v>
      </c>
      <c r="J7" s="290">
        <v>41.1</v>
      </c>
      <c r="K7" s="290">
        <v>54.7</v>
      </c>
      <c r="L7" s="290">
        <v>92.7</v>
      </c>
      <c r="M7" s="290">
        <v>139</v>
      </c>
      <c r="N7" s="290">
        <v>181</v>
      </c>
      <c r="O7" s="291">
        <v>186</v>
      </c>
      <c r="Q7" t="s">
        <v>353</v>
      </c>
      <c r="R7" s="212" t="str">
        <f t="shared" si="1"/>
        <v/>
      </c>
      <c r="S7" s="290" t="str">
        <f t="shared" si="0"/>
        <v/>
      </c>
      <c r="T7" s="290">
        <f t="shared" si="0"/>
        <v>7</v>
      </c>
      <c r="U7" s="290">
        <f t="shared" si="0"/>
        <v>5</v>
      </c>
      <c r="V7" s="290">
        <f t="shared" si="0"/>
        <v>4</v>
      </c>
      <c r="W7" s="290">
        <f t="shared" si="0"/>
        <v>3</v>
      </c>
      <c r="X7" s="290">
        <f t="shared" si="0"/>
        <v>3</v>
      </c>
      <c r="Y7" s="290">
        <f t="shared" si="0"/>
        <v>3</v>
      </c>
      <c r="Z7" s="290">
        <f t="shared" si="0"/>
        <v>3</v>
      </c>
      <c r="AA7" s="290">
        <f t="shared" si="0"/>
        <v>2</v>
      </c>
      <c r="AB7" s="290">
        <f t="shared" si="0"/>
        <v>2</v>
      </c>
      <c r="AC7" s="290">
        <f t="shared" si="0"/>
        <v>2</v>
      </c>
      <c r="AD7" s="291">
        <f t="shared" si="0"/>
        <v>2</v>
      </c>
    </row>
    <row r="8" spans="1:31" x14ac:dyDescent="0.25">
      <c r="A8" t="s">
        <v>355</v>
      </c>
      <c r="B8" s="212"/>
      <c r="C8" s="290"/>
      <c r="D8" s="290"/>
      <c r="E8" s="290"/>
      <c r="F8" s="290">
        <v>4.8600000000000003</v>
      </c>
      <c r="G8" s="290">
        <v>10.8</v>
      </c>
      <c r="H8" s="290">
        <v>18.3</v>
      </c>
      <c r="I8" s="290">
        <v>29.2</v>
      </c>
      <c r="J8" s="290">
        <v>41.5</v>
      </c>
      <c r="K8" s="290">
        <v>51.3</v>
      </c>
      <c r="L8" s="290">
        <v>87.1</v>
      </c>
      <c r="M8" s="290">
        <v>131</v>
      </c>
      <c r="N8" s="290">
        <v>170</v>
      </c>
      <c r="O8" s="291">
        <v>175</v>
      </c>
      <c r="Q8" t="s">
        <v>355</v>
      </c>
      <c r="R8" s="212" t="str">
        <f t="shared" si="1"/>
        <v/>
      </c>
      <c r="S8" s="290" t="str">
        <f t="shared" si="0"/>
        <v/>
      </c>
      <c r="T8" s="290" t="str">
        <f t="shared" si="0"/>
        <v/>
      </c>
      <c r="U8" s="290">
        <f t="shared" si="0"/>
        <v>5</v>
      </c>
      <c r="V8" s="290">
        <f t="shared" si="0"/>
        <v>4</v>
      </c>
      <c r="W8" s="290">
        <f t="shared" si="0"/>
        <v>3</v>
      </c>
      <c r="X8" s="290">
        <f t="shared" si="0"/>
        <v>3</v>
      </c>
      <c r="Y8" s="290">
        <f t="shared" si="0"/>
        <v>3</v>
      </c>
      <c r="Z8" s="290">
        <f t="shared" si="0"/>
        <v>3</v>
      </c>
      <c r="AA8" s="290">
        <f t="shared" si="0"/>
        <v>2</v>
      </c>
      <c r="AB8" s="290">
        <f t="shared" si="0"/>
        <v>2</v>
      </c>
      <c r="AC8" s="290">
        <f t="shared" si="0"/>
        <v>2</v>
      </c>
      <c r="AD8" s="291">
        <f t="shared" si="0"/>
        <v>2</v>
      </c>
    </row>
    <row r="9" spans="1:31" x14ac:dyDescent="0.25">
      <c r="A9" t="s">
        <v>357</v>
      </c>
      <c r="B9" s="212"/>
      <c r="C9" s="290"/>
      <c r="D9" s="290"/>
      <c r="E9" s="290"/>
      <c r="F9" s="290"/>
      <c r="G9" s="290">
        <v>2.23</v>
      </c>
      <c r="H9" s="290">
        <v>3.75</v>
      </c>
      <c r="I9" s="290">
        <v>6.02</v>
      </c>
      <c r="J9" s="290">
        <v>8.5500000000000007</v>
      </c>
      <c r="K9" s="290">
        <v>10.6</v>
      </c>
      <c r="L9" s="290">
        <v>17.899999999999999</v>
      </c>
      <c r="M9" s="290">
        <v>27</v>
      </c>
      <c r="N9" s="290">
        <v>35.1</v>
      </c>
      <c r="O9" s="291">
        <v>36</v>
      </c>
      <c r="Q9" t="s">
        <v>357</v>
      </c>
      <c r="R9" s="212" t="str">
        <f t="shared" si="1"/>
        <v/>
      </c>
      <c r="S9" s="290" t="str">
        <f t="shared" si="0"/>
        <v/>
      </c>
      <c r="T9" s="290" t="str">
        <f t="shared" si="0"/>
        <v/>
      </c>
      <c r="U9" s="290" t="str">
        <f t="shared" si="0"/>
        <v/>
      </c>
      <c r="V9" s="290">
        <f t="shared" si="0"/>
        <v>6</v>
      </c>
      <c r="W9" s="290">
        <f t="shared" si="0"/>
        <v>5</v>
      </c>
      <c r="X9" s="290">
        <f t="shared" si="0"/>
        <v>4</v>
      </c>
      <c r="Y9" s="290">
        <f t="shared" si="0"/>
        <v>4</v>
      </c>
      <c r="Z9" s="290">
        <f t="shared" si="0"/>
        <v>4</v>
      </c>
      <c r="AA9" s="290">
        <f t="shared" si="0"/>
        <v>3</v>
      </c>
      <c r="AB9" s="290">
        <f t="shared" si="0"/>
        <v>3</v>
      </c>
      <c r="AC9" s="290">
        <f t="shared" si="0"/>
        <v>3</v>
      </c>
      <c r="AD9" s="291">
        <f t="shared" si="0"/>
        <v>3</v>
      </c>
    </row>
    <row r="10" spans="1:31" x14ac:dyDescent="0.25">
      <c r="A10" t="s">
        <v>358</v>
      </c>
      <c r="B10" s="212"/>
      <c r="C10" s="290"/>
      <c r="D10" s="290"/>
      <c r="E10" s="290"/>
      <c r="F10" s="290"/>
      <c r="G10" s="290"/>
      <c r="H10" s="290">
        <v>1.69</v>
      </c>
      <c r="I10" s="290">
        <v>2.7</v>
      </c>
      <c r="J10" s="290">
        <v>3.83</v>
      </c>
      <c r="K10" s="290">
        <v>4.74</v>
      </c>
      <c r="L10" s="290">
        <v>8.0399999999999991</v>
      </c>
      <c r="M10" s="290">
        <v>12</v>
      </c>
      <c r="N10" s="290">
        <v>15.7</v>
      </c>
      <c r="O10" s="291">
        <v>16.2</v>
      </c>
      <c r="Q10" t="s">
        <v>358</v>
      </c>
      <c r="R10" s="212" t="str">
        <f t="shared" si="1"/>
        <v/>
      </c>
      <c r="S10" s="290" t="str">
        <f t="shared" si="0"/>
        <v/>
      </c>
      <c r="T10" s="290" t="str">
        <f t="shared" si="0"/>
        <v/>
      </c>
      <c r="U10" s="290" t="str">
        <f t="shared" si="0"/>
        <v/>
      </c>
      <c r="V10" s="290" t="str">
        <f t="shared" si="0"/>
        <v/>
      </c>
      <c r="W10" s="290">
        <f t="shared" si="0"/>
        <v>6</v>
      </c>
      <c r="X10" s="290">
        <f t="shared" si="0"/>
        <v>5</v>
      </c>
      <c r="Y10" s="290">
        <f t="shared" si="0"/>
        <v>5</v>
      </c>
      <c r="Z10" s="290">
        <f t="shared" si="0"/>
        <v>5</v>
      </c>
      <c r="AA10" s="290">
        <f t="shared" si="0"/>
        <v>4</v>
      </c>
      <c r="AB10" s="290">
        <f t="shared" si="0"/>
        <v>4</v>
      </c>
      <c r="AC10" s="290">
        <f t="shared" si="0"/>
        <v>3</v>
      </c>
      <c r="AD10" s="291">
        <f t="shared" si="0"/>
        <v>3</v>
      </c>
    </row>
    <row r="11" spans="1:31" x14ac:dyDescent="0.25">
      <c r="A11" t="s">
        <v>361</v>
      </c>
      <c r="B11" s="212"/>
      <c r="C11" s="290"/>
      <c r="D11" s="290"/>
      <c r="E11" s="290"/>
      <c r="F11" s="290"/>
      <c r="G11" s="290"/>
      <c r="H11" s="290"/>
      <c r="I11" s="290">
        <v>1.6</v>
      </c>
      <c r="J11" s="290">
        <v>2.2599999999999998</v>
      </c>
      <c r="K11" s="290">
        <v>2.8</v>
      </c>
      <c r="L11" s="290">
        <v>4.75</v>
      </c>
      <c r="M11" s="290">
        <v>7.15</v>
      </c>
      <c r="N11" s="290">
        <v>9.3000000000000007</v>
      </c>
      <c r="O11" s="291">
        <v>9.5500000000000007</v>
      </c>
      <c r="Q11" t="s">
        <v>361</v>
      </c>
      <c r="R11" s="212" t="str">
        <f t="shared" si="1"/>
        <v/>
      </c>
      <c r="S11" s="290" t="str">
        <f t="shared" si="0"/>
        <v/>
      </c>
      <c r="T11" s="290" t="str">
        <f t="shared" si="0"/>
        <v/>
      </c>
      <c r="U11" s="290" t="str">
        <f t="shared" si="0"/>
        <v/>
      </c>
      <c r="V11" s="290" t="str">
        <f t="shared" si="0"/>
        <v/>
      </c>
      <c r="W11" s="290" t="str">
        <f t="shared" si="0"/>
        <v/>
      </c>
      <c r="X11" s="290">
        <f t="shared" si="0"/>
        <v>6</v>
      </c>
      <c r="Y11" s="290">
        <f t="shared" si="0"/>
        <v>6</v>
      </c>
      <c r="Z11" s="290">
        <f t="shared" si="0"/>
        <v>5</v>
      </c>
      <c r="AA11" s="290">
        <f t="shared" si="0"/>
        <v>5</v>
      </c>
      <c r="AB11" s="290">
        <f t="shared" si="0"/>
        <v>4</v>
      </c>
      <c r="AC11" s="290">
        <f t="shared" si="0"/>
        <v>4</v>
      </c>
      <c r="AD11" s="291">
        <f t="shared" si="0"/>
        <v>4</v>
      </c>
    </row>
    <row r="12" spans="1:31" x14ac:dyDescent="0.25">
      <c r="A12" t="s">
        <v>364</v>
      </c>
      <c r="B12" s="212"/>
      <c r="C12" s="290"/>
      <c r="D12" s="290"/>
      <c r="E12" s="290"/>
      <c r="F12" s="290"/>
      <c r="G12" s="290"/>
      <c r="H12" s="290"/>
      <c r="I12" s="290"/>
      <c r="J12" s="290">
        <v>1.42</v>
      </c>
      <c r="K12" s="290">
        <v>1.76</v>
      </c>
      <c r="L12" s="290">
        <v>2.98</v>
      </c>
      <c r="M12" s="290">
        <v>4.4800000000000004</v>
      </c>
      <c r="N12" s="290">
        <v>5.83</v>
      </c>
      <c r="O12" s="291">
        <v>5.9</v>
      </c>
      <c r="Q12" t="s">
        <v>364</v>
      </c>
      <c r="R12" s="212" t="str">
        <f t="shared" si="1"/>
        <v/>
      </c>
      <c r="S12" s="290" t="str">
        <f t="shared" si="0"/>
        <v/>
      </c>
      <c r="T12" s="290" t="str">
        <f t="shared" si="0"/>
        <v/>
      </c>
      <c r="U12" s="290" t="str">
        <f t="shared" si="0"/>
        <v/>
      </c>
      <c r="V12" s="290" t="str">
        <f t="shared" si="0"/>
        <v/>
      </c>
      <c r="W12" s="290" t="str">
        <f t="shared" si="0"/>
        <v/>
      </c>
      <c r="X12" s="290" t="str">
        <f t="shared" si="0"/>
        <v/>
      </c>
      <c r="Y12" s="290">
        <f t="shared" si="0"/>
        <v>7</v>
      </c>
      <c r="Z12" s="290">
        <f t="shared" si="0"/>
        <v>6</v>
      </c>
      <c r="AA12" s="290">
        <f t="shared" si="0"/>
        <v>5</v>
      </c>
      <c r="AB12" s="290">
        <f t="shared" si="0"/>
        <v>5</v>
      </c>
      <c r="AC12" s="290">
        <f t="shared" si="0"/>
        <v>4</v>
      </c>
      <c r="AD12" s="291">
        <f t="shared" si="0"/>
        <v>4</v>
      </c>
    </row>
    <row r="13" spans="1:31" x14ac:dyDescent="0.25">
      <c r="A13" t="s">
        <v>366</v>
      </c>
      <c r="B13" s="212"/>
      <c r="C13" s="290"/>
      <c r="D13" s="290"/>
      <c r="E13" s="290"/>
      <c r="F13" s="290"/>
      <c r="G13" s="290"/>
      <c r="H13" s="290"/>
      <c r="I13" s="290"/>
      <c r="J13" s="290"/>
      <c r="K13" s="290">
        <v>1.24</v>
      </c>
      <c r="L13" s="290">
        <v>2.1</v>
      </c>
      <c r="M13" s="290">
        <v>3.16</v>
      </c>
      <c r="N13" s="290">
        <v>4.1100000000000003</v>
      </c>
      <c r="O13" s="291">
        <v>4.22</v>
      </c>
      <c r="Q13" t="s">
        <v>366</v>
      </c>
      <c r="R13" s="212" t="str">
        <f t="shared" si="1"/>
        <v/>
      </c>
      <c r="S13" s="290" t="str">
        <f t="shared" si="0"/>
        <v/>
      </c>
      <c r="T13" s="290" t="str">
        <f t="shared" si="0"/>
        <v/>
      </c>
      <c r="U13" s="290" t="str">
        <f t="shared" si="0"/>
        <v/>
      </c>
      <c r="V13" s="290" t="str">
        <f t="shared" si="0"/>
        <v/>
      </c>
      <c r="W13" s="290" t="str">
        <f t="shared" si="0"/>
        <v/>
      </c>
      <c r="X13" s="290" t="str">
        <f t="shared" si="0"/>
        <v/>
      </c>
      <c r="Y13" s="290" t="str">
        <f t="shared" si="0"/>
        <v/>
      </c>
      <c r="Z13" s="290">
        <f t="shared" si="0"/>
        <v>7</v>
      </c>
      <c r="AA13" s="290">
        <f t="shared" si="0"/>
        <v>6</v>
      </c>
      <c r="AB13" s="290">
        <f t="shared" si="0"/>
        <v>5</v>
      </c>
      <c r="AC13" s="290">
        <f t="shared" si="0"/>
        <v>5</v>
      </c>
      <c r="AD13" s="291">
        <f t="shared" si="0"/>
        <v>5</v>
      </c>
    </row>
    <row r="14" spans="1:31" x14ac:dyDescent="0.25">
      <c r="A14" t="s">
        <v>367</v>
      </c>
      <c r="B14" s="212"/>
      <c r="C14" s="290"/>
      <c r="D14" s="290"/>
      <c r="E14" s="290"/>
      <c r="F14" s="290"/>
      <c r="G14" s="290"/>
      <c r="H14" s="290"/>
      <c r="I14" s="290"/>
      <c r="J14" s="290"/>
      <c r="K14" s="290"/>
      <c r="L14" s="290">
        <v>1.7</v>
      </c>
      <c r="M14" s="290">
        <v>2.5499999999999998</v>
      </c>
      <c r="N14" s="290">
        <v>3.31</v>
      </c>
      <c r="O14" s="291">
        <v>3.41</v>
      </c>
      <c r="Q14" t="s">
        <v>367</v>
      </c>
      <c r="R14" s="212" t="str">
        <f t="shared" si="1"/>
        <v/>
      </c>
      <c r="S14" s="290" t="str">
        <f t="shared" si="0"/>
        <v/>
      </c>
      <c r="T14" s="290" t="str">
        <f t="shared" si="0"/>
        <v/>
      </c>
      <c r="U14" s="290" t="str">
        <f t="shared" si="0"/>
        <v/>
      </c>
      <c r="V14" s="290" t="str">
        <f t="shared" si="0"/>
        <v/>
      </c>
      <c r="W14" s="290" t="str">
        <f t="shared" si="0"/>
        <v/>
      </c>
      <c r="X14" s="290" t="str">
        <f t="shared" si="0"/>
        <v/>
      </c>
      <c r="Y14" s="290" t="str">
        <f t="shared" si="0"/>
        <v/>
      </c>
      <c r="Z14" s="290" t="str">
        <f t="shared" si="0"/>
        <v/>
      </c>
      <c r="AA14" s="290">
        <f t="shared" si="0"/>
        <v>6</v>
      </c>
      <c r="AB14" s="290">
        <f t="shared" si="0"/>
        <v>6</v>
      </c>
      <c r="AC14" s="290">
        <f t="shared" si="0"/>
        <v>5</v>
      </c>
      <c r="AD14" s="291">
        <f t="shared" si="0"/>
        <v>5</v>
      </c>
    </row>
    <row r="15" spans="1:31" x14ac:dyDescent="0.25">
      <c r="A15" t="s">
        <v>368</v>
      </c>
      <c r="B15" s="212"/>
      <c r="C15" s="290"/>
      <c r="D15" s="290"/>
      <c r="E15" s="290"/>
      <c r="F15" s="290"/>
      <c r="G15" s="290"/>
      <c r="H15" s="290"/>
      <c r="I15" s="290"/>
      <c r="J15" s="290"/>
      <c r="K15" s="290"/>
      <c r="L15" s="290"/>
      <c r="M15" s="290">
        <v>1.5</v>
      </c>
      <c r="N15" s="290">
        <v>1.9</v>
      </c>
      <c r="O15" s="291">
        <v>2.0099999999999998</v>
      </c>
      <c r="Q15" t="s">
        <v>368</v>
      </c>
      <c r="R15" s="212" t="str">
        <f t="shared" si="1"/>
        <v/>
      </c>
      <c r="S15" s="290" t="str">
        <f t="shared" si="0"/>
        <v/>
      </c>
      <c r="T15" s="290" t="str">
        <f t="shared" si="0"/>
        <v/>
      </c>
      <c r="U15" s="290" t="str">
        <f t="shared" si="0"/>
        <v/>
      </c>
      <c r="V15" s="290" t="str">
        <f t="shared" si="0"/>
        <v/>
      </c>
      <c r="W15" s="290" t="str">
        <f t="shared" si="0"/>
        <v/>
      </c>
      <c r="X15" s="290" t="str">
        <f t="shared" si="0"/>
        <v/>
      </c>
      <c r="Y15" s="290" t="str">
        <f t="shared" si="0"/>
        <v/>
      </c>
      <c r="Z15" s="290" t="str">
        <f t="shared" si="0"/>
        <v/>
      </c>
      <c r="AA15" s="290" t="str">
        <f t="shared" si="0"/>
        <v/>
      </c>
      <c r="AB15" s="290">
        <f t="shared" si="0"/>
        <v>6</v>
      </c>
      <c r="AC15" s="290">
        <f t="shared" si="0"/>
        <v>6</v>
      </c>
      <c r="AD15" s="291">
        <f t="shared" si="0"/>
        <v>6</v>
      </c>
    </row>
    <row r="16" spans="1:31" x14ac:dyDescent="0.25">
      <c r="A16" t="s">
        <v>369</v>
      </c>
      <c r="B16" s="212"/>
      <c r="C16" s="290"/>
      <c r="D16" s="290"/>
      <c r="E16" s="290"/>
      <c r="F16" s="290"/>
      <c r="G16" s="290"/>
      <c r="H16" s="290"/>
      <c r="I16" s="290"/>
      <c r="J16" s="290"/>
      <c r="K16" s="290"/>
      <c r="L16" s="290"/>
      <c r="M16" s="290"/>
      <c r="N16" s="290">
        <v>1.3</v>
      </c>
      <c r="O16" s="291">
        <v>1.34</v>
      </c>
      <c r="Q16" t="s">
        <v>369</v>
      </c>
      <c r="R16" s="212" t="str">
        <f t="shared" si="1"/>
        <v/>
      </c>
      <c r="S16" s="290" t="str">
        <f t="shared" si="0"/>
        <v/>
      </c>
      <c r="T16" s="290" t="str">
        <f t="shared" si="0"/>
        <v/>
      </c>
      <c r="U16" s="290" t="str">
        <f t="shared" si="0"/>
        <v/>
      </c>
      <c r="V16" s="290" t="str">
        <f t="shared" si="0"/>
        <v/>
      </c>
      <c r="W16" s="290" t="str">
        <f t="shared" si="0"/>
        <v/>
      </c>
      <c r="X16" s="290" t="str">
        <f t="shared" si="0"/>
        <v/>
      </c>
      <c r="Y16" s="290" t="str">
        <f t="shared" si="0"/>
        <v/>
      </c>
      <c r="Z16" s="290" t="str">
        <f t="shared" si="0"/>
        <v/>
      </c>
      <c r="AA16" s="290" t="str">
        <f t="shared" si="0"/>
        <v/>
      </c>
      <c r="AB16" s="290" t="str">
        <f t="shared" si="0"/>
        <v/>
      </c>
      <c r="AC16" s="290">
        <f t="shared" si="0"/>
        <v>7</v>
      </c>
      <c r="AD16" s="291">
        <f t="shared" si="0"/>
        <v>7</v>
      </c>
    </row>
    <row r="17" spans="1:30" x14ac:dyDescent="0.25">
      <c r="A17" t="s">
        <v>370</v>
      </c>
      <c r="B17" s="212"/>
      <c r="C17" s="290"/>
      <c r="D17" s="290"/>
      <c r="E17" s="290"/>
      <c r="F17" s="290"/>
      <c r="G17" s="290"/>
      <c r="H17" s="290"/>
      <c r="I17" s="290"/>
      <c r="J17" s="290"/>
      <c r="K17" s="290"/>
      <c r="L17" s="290"/>
      <c r="M17" s="290"/>
      <c r="N17" s="290"/>
      <c r="O17" s="291">
        <v>1.03</v>
      </c>
      <c r="Q17" t="s">
        <v>370</v>
      </c>
      <c r="R17" s="212" t="str">
        <f t="shared" si="1"/>
        <v/>
      </c>
      <c r="S17" s="290" t="str">
        <f t="shared" si="0"/>
        <v/>
      </c>
      <c r="T17" s="290" t="str">
        <f t="shared" si="0"/>
        <v/>
      </c>
      <c r="U17" s="290" t="str">
        <f t="shared" si="0"/>
        <v/>
      </c>
      <c r="V17" s="290" t="str">
        <f t="shared" si="0"/>
        <v/>
      </c>
      <c r="W17" s="290" t="str">
        <f t="shared" si="0"/>
        <v/>
      </c>
      <c r="X17" s="290" t="str">
        <f t="shared" si="0"/>
        <v/>
      </c>
      <c r="Y17" s="290" t="str">
        <f t="shared" si="0"/>
        <v/>
      </c>
      <c r="Z17" s="290" t="str">
        <f t="shared" si="0"/>
        <v/>
      </c>
      <c r="AA17" s="290" t="str">
        <f t="shared" si="0"/>
        <v/>
      </c>
      <c r="AB17" s="290" t="str">
        <f t="shared" si="0"/>
        <v/>
      </c>
      <c r="AC17" s="290" t="str">
        <f t="shared" si="0"/>
        <v/>
      </c>
      <c r="AD17" s="291">
        <f t="shared" si="0"/>
        <v>7</v>
      </c>
    </row>
    <row r="18" spans="1:30" x14ac:dyDescent="0.25">
      <c r="A18" t="s">
        <v>371</v>
      </c>
      <c r="B18" s="221"/>
      <c r="C18" s="225"/>
      <c r="D18" s="225"/>
      <c r="E18" s="225"/>
      <c r="F18" s="225"/>
      <c r="G18" s="225"/>
      <c r="H18" s="225"/>
      <c r="I18" s="225"/>
      <c r="J18" s="225"/>
      <c r="K18" s="225"/>
      <c r="L18" s="225"/>
      <c r="M18" s="225"/>
      <c r="N18" s="225"/>
      <c r="O18" s="226"/>
      <c r="Q18" t="s">
        <v>371</v>
      </c>
      <c r="R18" s="221" t="str">
        <f t="shared" si="1"/>
        <v/>
      </c>
      <c r="S18" s="225" t="str">
        <f t="shared" si="0"/>
        <v/>
      </c>
      <c r="T18" s="225" t="str">
        <f t="shared" si="0"/>
        <v/>
      </c>
      <c r="U18" s="225" t="str">
        <f t="shared" si="0"/>
        <v/>
      </c>
      <c r="V18" s="225" t="str">
        <f t="shared" si="0"/>
        <v/>
      </c>
      <c r="W18" s="225" t="str">
        <f t="shared" si="0"/>
        <v/>
      </c>
      <c r="X18" s="225" t="str">
        <f t="shared" si="0"/>
        <v/>
      </c>
      <c r="Y18" s="225" t="str">
        <f t="shared" si="0"/>
        <v/>
      </c>
      <c r="Z18" s="225" t="str">
        <f t="shared" si="0"/>
        <v/>
      </c>
      <c r="AA18" s="225" t="str">
        <f t="shared" si="0"/>
        <v/>
      </c>
      <c r="AB18" s="225" t="str">
        <f t="shared" si="0"/>
        <v/>
      </c>
      <c r="AC18" s="225" t="str">
        <f t="shared" si="0"/>
        <v/>
      </c>
      <c r="AD18" s="226" t="str">
        <f t="shared" si="0"/>
        <v/>
      </c>
    </row>
    <row r="20" spans="1:30" x14ac:dyDescent="0.25">
      <c r="A20" t="s">
        <v>687</v>
      </c>
      <c r="E20" s="290" t="s">
        <v>750</v>
      </c>
      <c r="AA20" t="s">
        <v>144</v>
      </c>
    </row>
    <row r="21" spans="1:30" x14ac:dyDescent="0.25">
      <c r="A21" t="s">
        <v>675</v>
      </c>
      <c r="B21">
        <v>2</v>
      </c>
      <c r="E21" s="290">
        <f>IFERROR(ROUND($E$39*B21^$F$39+$E$43,0),"")</f>
        <v>6</v>
      </c>
    </row>
    <row r="22" spans="1:30" x14ac:dyDescent="0.25">
      <c r="A22" t="s">
        <v>676</v>
      </c>
      <c r="B22">
        <v>1.4</v>
      </c>
      <c r="E22" s="290">
        <f>IFERROR(ROUND($E$39*B22^$F$39+$E$43,0),"")</f>
        <v>7</v>
      </c>
    </row>
    <row r="25" spans="1:30" ht="15" customHeight="1" x14ac:dyDescent="0.25">
      <c r="B25" s="434" t="s">
        <v>446</v>
      </c>
      <c r="C25" s="434"/>
      <c r="D25" s="434"/>
      <c r="E25" s="434"/>
      <c r="F25" s="434"/>
      <c r="G25" s="434"/>
      <c r="H25" s="434"/>
      <c r="I25" s="434"/>
      <c r="J25" s="434"/>
      <c r="K25" s="434"/>
      <c r="L25" s="434"/>
      <c r="M25" s="434"/>
    </row>
    <row r="26" spans="1:30" x14ac:dyDescent="0.25">
      <c r="B26" s="434"/>
      <c r="C26" s="434"/>
      <c r="D26" s="434"/>
      <c r="E26" s="434"/>
      <c r="F26" s="434"/>
      <c r="G26" s="434"/>
      <c r="H26" s="434"/>
      <c r="I26" s="434"/>
      <c r="J26" s="434"/>
      <c r="K26" s="434"/>
      <c r="L26" s="434"/>
      <c r="M26" s="434"/>
    </row>
    <row r="27" spans="1:30" x14ac:dyDescent="0.25">
      <c r="B27" s="434"/>
      <c r="C27" s="434"/>
      <c r="D27" s="434"/>
      <c r="E27" s="434"/>
      <c r="F27" s="434"/>
      <c r="G27" s="434"/>
      <c r="H27" s="434"/>
      <c r="I27" s="434"/>
      <c r="J27" s="434"/>
      <c r="K27" s="434"/>
      <c r="L27" s="434"/>
      <c r="M27" s="434"/>
    </row>
    <row r="28" spans="1:30" x14ac:dyDescent="0.25">
      <c r="B28" s="434"/>
      <c r="C28" s="434"/>
      <c r="D28" s="434"/>
      <c r="E28" s="434"/>
      <c r="F28" s="434"/>
      <c r="G28" s="434"/>
      <c r="H28" s="434"/>
      <c r="I28" s="434"/>
      <c r="J28" s="434"/>
      <c r="K28" s="434"/>
      <c r="L28" s="434"/>
      <c r="M28" s="434"/>
    </row>
    <row r="29" spans="1:30" x14ac:dyDescent="0.25">
      <c r="B29" s="434"/>
      <c r="C29" s="434"/>
      <c r="D29" s="434"/>
      <c r="E29" s="434"/>
      <c r="F29" s="434"/>
      <c r="G29" s="434"/>
      <c r="H29" s="434"/>
      <c r="I29" s="434"/>
      <c r="J29" s="434"/>
      <c r="K29" s="434"/>
      <c r="L29" s="434"/>
      <c r="M29" s="434"/>
    </row>
    <row r="30" spans="1:30" x14ac:dyDescent="0.25">
      <c r="B30" s="434"/>
      <c r="C30" s="434"/>
      <c r="D30" s="434"/>
      <c r="E30" s="434"/>
      <c r="F30" s="434"/>
      <c r="G30" s="434"/>
      <c r="H30" s="434"/>
      <c r="I30" s="434"/>
      <c r="J30" s="434"/>
      <c r="K30" s="434"/>
      <c r="L30" s="434"/>
      <c r="M30" s="434"/>
    </row>
    <row r="31" spans="1:30" x14ac:dyDescent="0.25">
      <c r="B31" s="434"/>
      <c r="C31" s="434"/>
      <c r="D31" s="434"/>
      <c r="E31" s="434"/>
      <c r="F31" s="434"/>
      <c r="G31" s="434"/>
      <c r="H31" s="434"/>
      <c r="I31" s="434"/>
      <c r="J31" s="434"/>
      <c r="K31" s="434"/>
      <c r="L31" s="434"/>
      <c r="M31" s="434"/>
    </row>
    <row r="32" spans="1:30" x14ac:dyDescent="0.25">
      <c r="B32" s="434"/>
      <c r="C32" s="434"/>
      <c r="D32" s="434"/>
      <c r="E32" s="434"/>
      <c r="F32" s="434"/>
      <c r="G32" s="434"/>
      <c r="H32" s="434"/>
      <c r="I32" s="434"/>
      <c r="J32" s="434"/>
      <c r="K32" s="434"/>
      <c r="L32" s="434"/>
      <c r="M32" s="434"/>
    </row>
    <row r="33" spans="2:40" x14ac:dyDescent="0.25">
      <c r="B33" s="434"/>
      <c r="C33" s="434"/>
      <c r="D33" s="434"/>
      <c r="E33" s="434"/>
      <c r="F33" s="434"/>
      <c r="G33" s="434"/>
      <c r="H33" s="434"/>
      <c r="I33" s="434"/>
      <c r="J33" s="434"/>
      <c r="K33" s="434"/>
      <c r="L33" s="434"/>
      <c r="M33" s="434"/>
    </row>
    <row r="34" spans="2:40" x14ac:dyDescent="0.25">
      <c r="B34" s="434"/>
      <c r="C34" s="434"/>
      <c r="D34" s="434"/>
      <c r="E34" s="434"/>
      <c r="F34" s="434"/>
      <c r="G34" s="434"/>
      <c r="H34" s="434"/>
      <c r="I34" s="434"/>
      <c r="J34" s="434"/>
      <c r="K34" s="434"/>
      <c r="L34" s="434"/>
      <c r="M34" s="434"/>
    </row>
    <row r="35" spans="2:40" x14ac:dyDescent="0.25">
      <c r="B35" s="434"/>
      <c r="C35" s="434"/>
      <c r="D35" s="434"/>
      <c r="E35" s="434"/>
      <c r="F35" s="434"/>
      <c r="G35" s="434"/>
      <c r="H35" s="434"/>
      <c r="I35" s="434"/>
      <c r="J35" s="434"/>
      <c r="K35" s="434"/>
      <c r="L35" s="434"/>
      <c r="M35" s="434"/>
      <c r="AH35" t="e">
        <f>1-AH43/AG43</f>
        <v>#DIV/0!</v>
      </c>
      <c r="AJ35" t="s">
        <v>444</v>
      </c>
      <c r="AK35">
        <f>1-AK43/AH43</f>
        <v>0.99967158192811967</v>
      </c>
    </row>
    <row r="36" spans="2:40" x14ac:dyDescent="0.25">
      <c r="B36" s="434"/>
      <c r="C36" s="434"/>
      <c r="D36" s="434"/>
      <c r="E36" s="434"/>
      <c r="F36" s="434"/>
      <c r="G36" s="434"/>
      <c r="H36" s="434"/>
      <c r="I36" s="434"/>
      <c r="J36" s="434"/>
      <c r="K36" s="434"/>
      <c r="L36" s="434"/>
      <c r="M36" s="434"/>
    </row>
    <row r="37" spans="2:40" x14ac:dyDescent="0.25">
      <c r="E37">
        <v>4.3</v>
      </c>
      <c r="F37">
        <v>-0.41</v>
      </c>
      <c r="AA37" t="s">
        <v>438</v>
      </c>
      <c r="AB37" t="s">
        <v>439</v>
      </c>
      <c r="AC37" t="s">
        <v>437</v>
      </c>
      <c r="AD37" t="s">
        <v>440</v>
      </c>
      <c r="AE37" t="s">
        <v>441</v>
      </c>
      <c r="AF37" t="s">
        <v>442</v>
      </c>
      <c r="AH37" t="s">
        <v>443</v>
      </c>
      <c r="AJ37" t="s">
        <v>435</v>
      </c>
      <c r="AK37" t="s">
        <v>436</v>
      </c>
      <c r="AM37" t="s">
        <v>434</v>
      </c>
      <c r="AN37" t="s">
        <v>433</v>
      </c>
    </row>
    <row r="38" spans="2:40" x14ac:dyDescent="0.25">
      <c r="B38" t="s">
        <v>430</v>
      </c>
      <c r="C38" t="s">
        <v>431</v>
      </c>
      <c r="D38" t="s">
        <v>432</v>
      </c>
      <c r="E38" t="s">
        <v>433</v>
      </c>
      <c r="F38" t="s">
        <v>434</v>
      </c>
      <c r="G38" t="s">
        <v>97</v>
      </c>
      <c r="H38" t="s">
        <v>638</v>
      </c>
      <c r="AA38">
        <v>1.03</v>
      </c>
      <c r="AB38">
        <f>AA38-1</f>
        <v>3.0000000000000027E-2</v>
      </c>
      <c r="AC38">
        <f>20-$E$43</f>
        <v>19.23</v>
      </c>
      <c r="AD38">
        <f>LN(AA38-1)</f>
        <v>-3.5065578973199809</v>
      </c>
      <c r="AE38">
        <f>LN(AC38)</f>
        <v>2.9564715596006885</v>
      </c>
      <c r="AF38">
        <f>$AN$38*(AB38)^$AM$38</f>
        <v>19.136476690480553</v>
      </c>
      <c r="AH38">
        <f>(AE38-$AE$43)^2</f>
        <v>1.7917870276571803</v>
      </c>
      <c r="AJ38">
        <f>LN(AF38)</f>
        <v>2.9515962881227003</v>
      </c>
      <c r="AK38">
        <f>(AJ38-AE38)^2</f>
        <v>2.3768271984085973E-5</v>
      </c>
      <c r="AM38" s="2">
        <f>(5*SUMPRODUCT($AD$38:$AD$42,AE38:AE42)-SUM($AD$38:$AD$42)*SUM(AE38:AE42))/(5*SUMPRODUCT($AD$38:$AD$42,$AD$38:$AD$42)-SUM($AD$38:$AD$42)^2)</f>
        <v>-0.31162731797304077</v>
      </c>
      <c r="AN38" s="2">
        <f>EXP((SUM(AE38:AE42)-AM38*SUM($AD$38:$AD$42))/5)</f>
        <v>6.41639898943723</v>
      </c>
    </row>
    <row r="39" spans="2:40" x14ac:dyDescent="0.25">
      <c r="B39">
        <v>20</v>
      </c>
      <c r="C39">
        <v>1.03</v>
      </c>
      <c r="E39">
        <f>AN38</f>
        <v>6.41639898943723</v>
      </c>
      <c r="F39">
        <f>AM38</f>
        <v>-0.31162731797304077</v>
      </c>
      <c r="G39" s="314">
        <f>$E$39*(C39-1)^$F$39+$E$43</f>
        <v>19.906476690480552</v>
      </c>
      <c r="H39">
        <f>ROUND(G39,0)</f>
        <v>20</v>
      </c>
      <c r="AA39">
        <v>200</v>
      </c>
      <c r="AB39">
        <f t="shared" ref="AB39:AB42" si="2">AA39-1</f>
        <v>199</v>
      </c>
      <c r="AC39">
        <f>2-$E$43</f>
        <v>1.23</v>
      </c>
      <c r="AD39">
        <f>LN(AA39-1)</f>
        <v>5.2933048247244923</v>
      </c>
      <c r="AE39">
        <f t="shared" ref="AE39:AE40" si="3">LN(AC39)</f>
        <v>0.20701416938432612</v>
      </c>
      <c r="AF39">
        <f>$AN$38*(AB39)^$AM$38</f>
        <v>1.2328378037718488</v>
      </c>
      <c r="AH39">
        <f t="shared" ref="AH39:AH42" si="4">(AE39-$AE$43)^2</f>
        <v>1.9905849060826157</v>
      </c>
      <c r="AJ39">
        <f t="shared" ref="AJ39:AJ42" si="5">LN(AF39)</f>
        <v>0.20931866952103934</v>
      </c>
      <c r="AK39">
        <f t="shared" ref="AK39:AK42" si="6">(AJ39-AE39)^2</f>
        <v>5.3107208801112088E-6</v>
      </c>
    </row>
    <row r="40" spans="2:40" x14ac:dyDescent="0.25">
      <c r="B40">
        <v>2</v>
      </c>
      <c r="C40">
        <v>200</v>
      </c>
      <c r="E40">
        <v>5</v>
      </c>
      <c r="G40" s="314">
        <f t="shared" ref="G40:G73" si="7">$E$39*(C40-1)^$F$39+$E$43</f>
        <v>2.0028378037718486</v>
      </c>
      <c r="H40">
        <f t="shared" ref="H40:H73" si="8">ROUND(G40,0)</f>
        <v>2</v>
      </c>
      <c r="AA40">
        <v>5</v>
      </c>
      <c r="AB40">
        <f t="shared" si="2"/>
        <v>4</v>
      </c>
      <c r="AC40">
        <f>5-$E$43</f>
        <v>4.2300000000000004</v>
      </c>
      <c r="AD40">
        <f>LN(AA40-1)</f>
        <v>1.3862943611198906</v>
      </c>
      <c r="AE40">
        <f t="shared" si="3"/>
        <v>1.4422019930581866</v>
      </c>
      <c r="AF40">
        <f>$AN$38*(AB40)^$AM$38</f>
        <v>4.1655564227207851</v>
      </c>
      <c r="AH40">
        <f t="shared" si="4"/>
        <v>3.0868056084904397E-2</v>
      </c>
      <c r="AJ40">
        <f t="shared" si="5"/>
        <v>1.426849861586748</v>
      </c>
      <c r="AK40">
        <f t="shared" si="6"/>
        <v>2.3568794071633726E-4</v>
      </c>
    </row>
    <row r="41" spans="2:40" x14ac:dyDescent="0.25">
      <c r="B41">
        <v>2</v>
      </c>
      <c r="C41">
        <v>10000000</v>
      </c>
      <c r="D41">
        <v>0</v>
      </c>
      <c r="G41" s="314">
        <f t="shared" si="7"/>
        <v>0.81225714478601663</v>
      </c>
      <c r="H41">
        <f t="shared" si="8"/>
        <v>1</v>
      </c>
      <c r="AA41">
        <v>3</v>
      </c>
      <c r="AB41">
        <f t="shared" si="2"/>
        <v>2</v>
      </c>
      <c r="AC41">
        <f>6-$E$43</f>
        <v>5.23</v>
      </c>
      <c r="AD41">
        <f>LN(AA41-1)</f>
        <v>0.69314718055994529</v>
      </c>
      <c r="AE41">
        <f t="shared" ref="AE41:AE42" si="9">LN(AC41)</f>
        <v>1.6544112780768316</v>
      </c>
      <c r="AF41">
        <f>$AN$38*(AB41)^$AM$38</f>
        <v>5.1699005813641534</v>
      </c>
      <c r="AH41">
        <f t="shared" si="4"/>
        <v>1.3334337017980346E-3</v>
      </c>
      <c r="AJ41">
        <f t="shared" si="5"/>
        <v>1.6428534584252188</v>
      </c>
      <c r="AK41">
        <f t="shared" si="6"/>
        <v>1.3358319509920805E-4</v>
      </c>
    </row>
    <row r="42" spans="2:40" x14ac:dyDescent="0.25">
      <c r="C42">
        <v>1.5</v>
      </c>
      <c r="E42" t="s">
        <v>445</v>
      </c>
      <c r="G42" s="314">
        <f t="shared" si="7"/>
        <v>8.7334366935519974</v>
      </c>
      <c r="H42">
        <f t="shared" si="8"/>
        <v>9</v>
      </c>
      <c r="AA42">
        <v>2</v>
      </c>
      <c r="AB42">
        <f t="shared" si="2"/>
        <v>1</v>
      </c>
      <c r="AC42">
        <f>7-$E$43</f>
        <v>6.23</v>
      </c>
      <c r="AD42">
        <f>LN(AA42-1)</f>
        <v>0</v>
      </c>
      <c r="AE42">
        <f t="shared" si="9"/>
        <v>1.8293763327993617</v>
      </c>
      <c r="AF42">
        <f>$AN$38*(AB42)^$AM$38</f>
        <v>6.41639898943723</v>
      </c>
      <c r="AH42">
        <f t="shared" si="4"/>
        <v>4.4724325960103811E-2</v>
      </c>
      <c r="AJ42">
        <f t="shared" si="5"/>
        <v>1.8588570552636896</v>
      </c>
      <c r="AK42">
        <f t="shared" si="6"/>
        <v>8.6911299701872584E-4</v>
      </c>
    </row>
    <row r="43" spans="2:40" x14ac:dyDescent="0.25">
      <c r="C43">
        <v>2</v>
      </c>
      <c r="E43">
        <v>0.77</v>
      </c>
      <c r="G43" s="314">
        <f t="shared" si="7"/>
        <v>7.1863989894372295</v>
      </c>
      <c r="H43">
        <f t="shared" si="8"/>
        <v>7</v>
      </c>
      <c r="AC43">
        <f>1/5*SUM(AC38:AC42)</f>
        <v>7.2300000000000013</v>
      </c>
      <c r="AD43">
        <f>1/5*SUM(AD38:AD42)</f>
        <v>0.77323769381686958</v>
      </c>
      <c r="AE43">
        <f>1/5*SUM(AE38:AE42)</f>
        <v>1.6178950665838792</v>
      </c>
      <c r="AH43">
        <f>SUM(AH38:AH42)</f>
        <v>3.8592977494866023</v>
      </c>
      <c r="AK43">
        <f>SUM(AK38:AK42)</f>
        <v>1.2674631256984683E-3</v>
      </c>
    </row>
    <row r="44" spans="2:40" x14ac:dyDescent="0.25">
      <c r="C44">
        <v>2.5</v>
      </c>
      <c r="G44" s="314">
        <f t="shared" si="7"/>
        <v>6.4247904382024501</v>
      </c>
      <c r="H44">
        <f t="shared" si="8"/>
        <v>6</v>
      </c>
    </row>
    <row r="45" spans="2:40" x14ac:dyDescent="0.25">
      <c r="C45">
        <v>3</v>
      </c>
      <c r="G45" s="314">
        <f t="shared" si="7"/>
        <v>5.939900581364153</v>
      </c>
      <c r="H45">
        <f t="shared" si="8"/>
        <v>6</v>
      </c>
    </row>
    <row r="46" spans="2:40" x14ac:dyDescent="0.25">
      <c r="C46">
        <v>3.5</v>
      </c>
      <c r="G46" s="314">
        <f t="shared" si="7"/>
        <v>5.5926126848567304</v>
      </c>
      <c r="H46">
        <f t="shared" si="8"/>
        <v>6</v>
      </c>
    </row>
    <row r="47" spans="2:40" x14ac:dyDescent="0.25">
      <c r="C47">
        <v>4</v>
      </c>
      <c r="G47" s="314">
        <f t="shared" si="7"/>
        <v>5.3262478926391417</v>
      </c>
      <c r="H47">
        <f t="shared" si="8"/>
        <v>5</v>
      </c>
    </row>
    <row r="48" spans="2:40" x14ac:dyDescent="0.25">
      <c r="C48">
        <v>4.5</v>
      </c>
      <c r="G48" s="314">
        <f t="shared" si="7"/>
        <v>5.1125506868347799</v>
      </c>
      <c r="H48">
        <f t="shared" si="8"/>
        <v>5</v>
      </c>
    </row>
    <row r="49" spans="3:8" x14ac:dyDescent="0.25">
      <c r="C49">
        <v>5</v>
      </c>
      <c r="G49" s="314">
        <f t="shared" si="7"/>
        <v>4.9355564227207847</v>
      </c>
      <c r="H49">
        <f t="shared" si="8"/>
        <v>5</v>
      </c>
    </row>
    <row r="50" spans="3:8" x14ac:dyDescent="0.25">
      <c r="C50">
        <v>5.5</v>
      </c>
      <c r="G50" s="314">
        <f t="shared" si="7"/>
        <v>4.7854340557359318</v>
      </c>
      <c r="H50">
        <f t="shared" si="8"/>
        <v>5</v>
      </c>
    </row>
    <row r="51" spans="3:8" x14ac:dyDescent="0.25">
      <c r="C51">
        <v>6</v>
      </c>
      <c r="G51" s="314">
        <f t="shared" si="7"/>
        <v>4.6557353110645199</v>
      </c>
      <c r="H51">
        <f t="shared" si="8"/>
        <v>5</v>
      </c>
    </row>
    <row r="52" spans="3:8" x14ac:dyDescent="0.25">
      <c r="C52">
        <v>1.04</v>
      </c>
      <c r="G52" s="314">
        <f t="shared" si="7"/>
        <v>18.265552319499594</v>
      </c>
      <c r="H52">
        <f t="shared" si="8"/>
        <v>18</v>
      </c>
    </row>
    <row r="53" spans="3:8" x14ac:dyDescent="0.25">
      <c r="C53">
        <v>1.1000000000000001</v>
      </c>
      <c r="G53" s="314">
        <f t="shared" si="7"/>
        <v>13.919785835246762</v>
      </c>
      <c r="H53">
        <f t="shared" si="8"/>
        <v>14</v>
      </c>
    </row>
    <row r="54" spans="3:8" x14ac:dyDescent="0.25">
      <c r="C54">
        <v>10</v>
      </c>
      <c r="G54" s="314">
        <f t="shared" si="7"/>
        <v>4.0053653339440141</v>
      </c>
      <c r="H54">
        <f t="shared" si="8"/>
        <v>4</v>
      </c>
    </row>
    <row r="55" spans="3:8" x14ac:dyDescent="0.25">
      <c r="C55">
        <v>20</v>
      </c>
      <c r="G55" s="314">
        <f t="shared" si="7"/>
        <v>3.3332844725677617</v>
      </c>
      <c r="H55">
        <f t="shared" si="8"/>
        <v>3</v>
      </c>
    </row>
    <row r="56" spans="3:8" x14ac:dyDescent="0.25">
      <c r="C56">
        <v>30</v>
      </c>
      <c r="G56" s="314">
        <f t="shared" si="7"/>
        <v>3.0168195590791633</v>
      </c>
      <c r="H56">
        <f t="shared" si="8"/>
        <v>3</v>
      </c>
    </row>
    <row r="57" spans="3:8" x14ac:dyDescent="0.25">
      <c r="C57">
        <v>40</v>
      </c>
      <c r="G57" s="314">
        <f t="shared" si="7"/>
        <v>2.8186707439501228</v>
      </c>
      <c r="H57">
        <f t="shared" si="8"/>
        <v>3</v>
      </c>
    </row>
    <row r="58" spans="3:8" x14ac:dyDescent="0.25">
      <c r="C58">
        <v>50</v>
      </c>
      <c r="G58" s="314">
        <f t="shared" si="7"/>
        <v>2.6780075570388471</v>
      </c>
      <c r="H58">
        <f t="shared" si="8"/>
        <v>3</v>
      </c>
    </row>
    <row r="59" spans="3:8" x14ac:dyDescent="0.25">
      <c r="C59">
        <v>60</v>
      </c>
      <c r="G59" s="314">
        <f t="shared" si="7"/>
        <v>2.5707171418297174</v>
      </c>
      <c r="H59">
        <f t="shared" si="8"/>
        <v>3</v>
      </c>
    </row>
    <row r="60" spans="3:8" x14ac:dyDescent="0.25">
      <c r="C60">
        <v>70</v>
      </c>
      <c r="G60" s="314">
        <f t="shared" si="7"/>
        <v>2.4849669361579063</v>
      </c>
      <c r="H60">
        <f t="shared" si="8"/>
        <v>2</v>
      </c>
    </row>
    <row r="61" spans="3:8" x14ac:dyDescent="0.25">
      <c r="C61">
        <v>80</v>
      </c>
      <c r="G61" s="314">
        <f t="shared" si="7"/>
        <v>2.4141404748560431</v>
      </c>
      <c r="H61">
        <f t="shared" si="8"/>
        <v>2</v>
      </c>
    </row>
    <row r="62" spans="3:8" x14ac:dyDescent="0.25">
      <c r="C62">
        <v>90</v>
      </c>
      <c r="G62" s="314">
        <f t="shared" si="7"/>
        <v>2.3541933368050878</v>
      </c>
      <c r="H62">
        <f t="shared" si="8"/>
        <v>2</v>
      </c>
    </row>
    <row r="63" spans="3:8" x14ac:dyDescent="0.25">
      <c r="C63">
        <v>100</v>
      </c>
      <c r="G63" s="314">
        <f t="shared" si="7"/>
        <v>2.3024874209442645</v>
      </c>
      <c r="H63">
        <f t="shared" si="8"/>
        <v>2</v>
      </c>
    </row>
    <row r="64" spans="3:8" x14ac:dyDescent="0.25">
      <c r="C64">
        <v>110</v>
      </c>
      <c r="G64" s="314">
        <f t="shared" si="7"/>
        <v>2.2572144848349187</v>
      </c>
      <c r="H64">
        <f t="shared" si="8"/>
        <v>2</v>
      </c>
    </row>
    <row r="65" spans="1:21" x14ac:dyDescent="0.25">
      <c r="C65">
        <v>120</v>
      </c>
      <c r="G65" s="314">
        <f t="shared" si="7"/>
        <v>2.2170856232509757</v>
      </c>
      <c r="H65">
        <f t="shared" si="8"/>
        <v>2</v>
      </c>
    </row>
    <row r="66" spans="1:21" x14ac:dyDescent="0.25">
      <c r="C66">
        <v>130</v>
      </c>
      <c r="G66" s="314">
        <f t="shared" si="7"/>
        <v>2.181152504845187</v>
      </c>
      <c r="H66">
        <f t="shared" si="8"/>
        <v>2</v>
      </c>
    </row>
    <row r="67" spans="1:21" x14ac:dyDescent="0.25">
      <c r="C67">
        <v>140</v>
      </c>
      <c r="G67" s="314">
        <f t="shared" si="7"/>
        <v>2.1486988304201184</v>
      </c>
      <c r="H67">
        <f t="shared" si="8"/>
        <v>2</v>
      </c>
    </row>
    <row r="68" spans="1:21" x14ac:dyDescent="0.25">
      <c r="C68">
        <v>150</v>
      </c>
      <c r="G68" s="314">
        <f t="shared" si="7"/>
        <v>2.1191714842246334</v>
      </c>
      <c r="H68">
        <f t="shared" si="8"/>
        <v>2</v>
      </c>
    </row>
    <row r="69" spans="1:21" x14ac:dyDescent="0.25">
      <c r="C69">
        <v>160</v>
      </c>
      <c r="G69" s="314">
        <f t="shared" si="7"/>
        <v>2.0921352372501278</v>
      </c>
      <c r="H69">
        <f t="shared" si="8"/>
        <v>2</v>
      </c>
    </row>
    <row r="70" spans="1:21" x14ac:dyDescent="0.25">
      <c r="C70">
        <v>170</v>
      </c>
      <c r="G70" s="314">
        <f t="shared" si="7"/>
        <v>2.0672420063612447</v>
      </c>
      <c r="H70">
        <f t="shared" si="8"/>
        <v>2</v>
      </c>
    </row>
    <row r="71" spans="1:21" x14ac:dyDescent="0.25">
      <c r="C71">
        <v>180</v>
      </c>
      <c r="G71" s="314">
        <f t="shared" si="7"/>
        <v>2.0442094273282723</v>
      </c>
      <c r="H71">
        <f t="shared" si="8"/>
        <v>2</v>
      </c>
    </row>
    <row r="72" spans="1:21" x14ac:dyDescent="0.25">
      <c r="C72">
        <v>190</v>
      </c>
      <c r="G72" s="314">
        <f t="shared" si="7"/>
        <v>2.0228055689752988</v>
      </c>
      <c r="H72">
        <f t="shared" si="8"/>
        <v>2</v>
      </c>
    </row>
    <row r="73" spans="1:21" x14ac:dyDescent="0.25">
      <c r="C73">
        <v>200</v>
      </c>
      <c r="G73" s="314">
        <f t="shared" si="7"/>
        <v>2.0028378037718486</v>
      </c>
      <c r="H73">
        <f t="shared" si="8"/>
        <v>2</v>
      </c>
    </row>
    <row r="76" spans="1:21" x14ac:dyDescent="0.25">
      <c r="A76" t="s">
        <v>703</v>
      </c>
    </row>
    <row r="78" spans="1:21" x14ac:dyDescent="0.25">
      <c r="A78" t="s">
        <v>639</v>
      </c>
    </row>
    <row r="79" spans="1:21" x14ac:dyDescent="0.25">
      <c r="A79" t="s">
        <v>640</v>
      </c>
      <c r="D79">
        <v>5</v>
      </c>
      <c r="E79" t="s">
        <v>430</v>
      </c>
      <c r="K79" s="261" t="s">
        <v>705</v>
      </c>
      <c r="L79">
        <f>AVERAGE(D87,C90,D95,C101,D113,D114,D117,D120)</f>
        <v>7</v>
      </c>
      <c r="O79" s="261" t="s">
        <v>706</v>
      </c>
      <c r="P79" s="260">
        <f>2*L79</f>
        <v>14</v>
      </c>
      <c r="R79" s="435" t="s">
        <v>707</v>
      </c>
      <c r="S79" s="436"/>
      <c r="T79" s="436"/>
      <c r="U79" s="436"/>
    </row>
    <row r="80" spans="1:21" x14ac:dyDescent="0.25">
      <c r="A80" t="s">
        <v>641</v>
      </c>
      <c r="D80">
        <v>5</v>
      </c>
      <c r="E80" t="s">
        <v>430</v>
      </c>
      <c r="K80" s="261" t="s">
        <v>704</v>
      </c>
      <c r="L80">
        <f>AVERAGE(D82,D88,D91,D95,D98,D96,C102,D108,D115,D118,D121)</f>
        <v>5</v>
      </c>
      <c r="O80" s="261" t="s">
        <v>706</v>
      </c>
      <c r="P80" s="260">
        <f>2*L80</f>
        <v>10</v>
      </c>
      <c r="R80" s="436"/>
      <c r="S80" s="436"/>
      <c r="T80" s="436"/>
      <c r="U80" s="436"/>
    </row>
    <row r="81" spans="1:21" x14ac:dyDescent="0.25">
      <c r="A81" t="s">
        <v>642</v>
      </c>
      <c r="D81">
        <v>10</v>
      </c>
      <c r="E81" t="s">
        <v>430</v>
      </c>
      <c r="R81" s="436"/>
      <c r="S81" s="436"/>
      <c r="T81" s="436"/>
      <c r="U81" s="436"/>
    </row>
    <row r="82" spans="1:21" x14ac:dyDescent="0.25">
      <c r="A82" t="s">
        <v>643</v>
      </c>
      <c r="D82">
        <v>5</v>
      </c>
      <c r="E82" t="s">
        <v>430</v>
      </c>
      <c r="R82" s="436"/>
      <c r="S82" s="436"/>
      <c r="T82" s="436"/>
      <c r="U82" s="436"/>
    </row>
    <row r="83" spans="1:21" x14ac:dyDescent="0.25">
      <c r="R83" s="436"/>
      <c r="S83" s="436"/>
      <c r="T83" s="436"/>
      <c r="U83" s="436"/>
    </row>
    <row r="84" spans="1:21" x14ac:dyDescent="0.25">
      <c r="R84" s="436"/>
      <c r="S84" s="436"/>
      <c r="T84" s="436"/>
      <c r="U84" s="436"/>
    </row>
    <row r="85" spans="1:21" x14ac:dyDescent="0.25">
      <c r="A85" t="s">
        <v>644</v>
      </c>
      <c r="R85" s="436"/>
      <c r="S85" s="436"/>
      <c r="T85" s="436"/>
      <c r="U85" s="436"/>
    </row>
    <row r="86" spans="1:21" x14ac:dyDescent="0.25">
      <c r="A86" s="287" t="s">
        <v>645</v>
      </c>
      <c r="B86" s="288"/>
      <c r="C86" s="288"/>
      <c r="D86" s="288">
        <v>8</v>
      </c>
      <c r="E86" s="289" t="s">
        <v>430</v>
      </c>
      <c r="R86" s="436"/>
      <c r="S86" s="436"/>
      <c r="T86" s="436"/>
      <c r="U86" s="436"/>
    </row>
    <row r="87" spans="1:21" x14ac:dyDescent="0.25">
      <c r="A87" s="212" t="s">
        <v>646</v>
      </c>
      <c r="B87" s="290"/>
      <c r="C87" s="290"/>
      <c r="D87" s="290">
        <v>6</v>
      </c>
      <c r="E87" s="291" t="s">
        <v>430</v>
      </c>
      <c r="R87" s="436"/>
      <c r="S87" s="436"/>
      <c r="T87" s="436"/>
      <c r="U87" s="436"/>
    </row>
    <row r="88" spans="1:21" x14ac:dyDescent="0.25">
      <c r="A88" s="212" t="s">
        <v>647</v>
      </c>
      <c r="B88" s="290"/>
      <c r="C88" s="290"/>
      <c r="D88" s="290">
        <v>4</v>
      </c>
      <c r="E88" s="291" t="s">
        <v>430</v>
      </c>
      <c r="R88" s="436"/>
      <c r="S88" s="436"/>
      <c r="T88" s="436"/>
      <c r="U88" s="436"/>
    </row>
    <row r="89" spans="1:21" x14ac:dyDescent="0.25">
      <c r="A89" s="212" t="s">
        <v>648</v>
      </c>
      <c r="B89" s="290"/>
      <c r="C89" s="290">
        <v>17</v>
      </c>
      <c r="D89" s="290" t="s">
        <v>649</v>
      </c>
      <c r="E89" s="291" t="s">
        <v>430</v>
      </c>
      <c r="R89" s="436"/>
      <c r="S89" s="436"/>
      <c r="T89" s="436"/>
      <c r="U89" s="436"/>
    </row>
    <row r="90" spans="1:21" x14ac:dyDescent="0.25">
      <c r="A90" s="212" t="s">
        <v>650</v>
      </c>
      <c r="B90" s="290"/>
      <c r="C90" s="290">
        <v>19</v>
      </c>
      <c r="D90" s="290" t="s">
        <v>651</v>
      </c>
      <c r="E90" s="291" t="s">
        <v>430</v>
      </c>
      <c r="R90" s="436"/>
      <c r="S90" s="436"/>
      <c r="T90" s="436"/>
      <c r="U90" s="436"/>
    </row>
    <row r="91" spans="1:21" x14ac:dyDescent="0.25">
      <c r="A91" s="212" t="s">
        <v>652</v>
      </c>
      <c r="B91" s="290"/>
      <c r="C91" s="290"/>
      <c r="D91" s="290">
        <v>8</v>
      </c>
      <c r="E91" s="291" t="s">
        <v>430</v>
      </c>
      <c r="R91" s="436"/>
      <c r="S91" s="436"/>
      <c r="T91" s="436"/>
      <c r="U91" s="436"/>
    </row>
    <row r="92" spans="1:21" x14ac:dyDescent="0.25">
      <c r="A92" s="212"/>
      <c r="B92" s="290"/>
      <c r="C92" s="290"/>
      <c r="D92" s="290"/>
      <c r="E92" s="291"/>
      <c r="R92" s="436"/>
      <c r="S92" s="436"/>
      <c r="T92" s="436"/>
      <c r="U92" s="436"/>
    </row>
    <row r="93" spans="1:21" x14ac:dyDescent="0.25">
      <c r="A93" s="212" t="s">
        <v>653</v>
      </c>
      <c r="B93" s="290"/>
      <c r="C93" s="290"/>
      <c r="D93" s="290"/>
      <c r="E93" s="291"/>
      <c r="R93" s="436"/>
      <c r="S93" s="436"/>
      <c r="T93" s="436"/>
      <c r="U93" s="436"/>
    </row>
    <row r="94" spans="1:21" x14ac:dyDescent="0.25">
      <c r="A94" s="212" t="s">
        <v>645</v>
      </c>
      <c r="B94" s="290"/>
      <c r="C94" s="290"/>
      <c r="D94" s="290">
        <v>4</v>
      </c>
      <c r="E94" s="291" t="s">
        <v>430</v>
      </c>
      <c r="R94" s="436"/>
      <c r="S94" s="436"/>
      <c r="T94" s="436"/>
      <c r="U94" s="436"/>
    </row>
    <row r="95" spans="1:21" x14ac:dyDescent="0.25">
      <c r="A95" s="212" t="s">
        <v>655</v>
      </c>
      <c r="B95" s="290"/>
      <c r="C95" s="290"/>
      <c r="D95" s="290">
        <v>4</v>
      </c>
      <c r="E95" s="291" t="s">
        <v>430</v>
      </c>
      <c r="R95" s="436"/>
      <c r="S95" s="436"/>
      <c r="T95" s="436"/>
      <c r="U95" s="436"/>
    </row>
    <row r="96" spans="1:21" x14ac:dyDescent="0.25">
      <c r="A96" s="212" t="s">
        <v>654</v>
      </c>
      <c r="B96" s="290"/>
      <c r="C96" s="290"/>
      <c r="D96" s="290">
        <v>2</v>
      </c>
      <c r="E96" s="291" t="s">
        <v>430</v>
      </c>
      <c r="R96" s="436"/>
      <c r="S96" s="436"/>
      <c r="T96" s="436"/>
      <c r="U96" s="436"/>
    </row>
    <row r="97" spans="1:21" x14ac:dyDescent="0.25">
      <c r="A97" s="212" t="s">
        <v>658</v>
      </c>
      <c r="B97" s="290"/>
      <c r="C97" s="290"/>
      <c r="D97" s="290">
        <v>6</v>
      </c>
      <c r="E97" s="291" t="s">
        <v>430</v>
      </c>
      <c r="R97" s="436"/>
      <c r="S97" s="436"/>
      <c r="T97" s="436"/>
      <c r="U97" s="436"/>
    </row>
    <row r="98" spans="1:21" x14ac:dyDescent="0.25">
      <c r="A98" s="212" t="s">
        <v>659</v>
      </c>
      <c r="B98" s="290"/>
      <c r="C98" s="290"/>
      <c r="D98" s="290">
        <v>4</v>
      </c>
      <c r="E98" s="291" t="s">
        <v>430</v>
      </c>
      <c r="R98" s="436"/>
      <c r="S98" s="436"/>
      <c r="T98" s="436"/>
      <c r="U98" s="436"/>
    </row>
    <row r="99" spans="1:21" x14ac:dyDescent="0.25">
      <c r="A99" s="212"/>
      <c r="B99" s="290"/>
      <c r="C99" s="290"/>
      <c r="D99" s="290"/>
      <c r="E99" s="291"/>
      <c r="R99" s="436"/>
      <c r="S99" s="436"/>
      <c r="T99" s="436"/>
      <c r="U99" s="436"/>
    </row>
    <row r="100" spans="1:21" x14ac:dyDescent="0.25">
      <c r="A100" s="212" t="s">
        <v>660</v>
      </c>
      <c r="B100" s="290"/>
      <c r="C100" s="290"/>
      <c r="D100" s="290">
        <v>8</v>
      </c>
      <c r="E100" s="291" t="s">
        <v>430</v>
      </c>
    </row>
    <row r="101" spans="1:21" x14ac:dyDescent="0.25">
      <c r="A101" s="212" t="s">
        <v>661</v>
      </c>
      <c r="B101" s="290"/>
      <c r="C101" s="290">
        <v>3</v>
      </c>
      <c r="D101" s="315" t="s">
        <v>662</v>
      </c>
      <c r="E101" s="291" t="s">
        <v>430</v>
      </c>
    </row>
    <row r="102" spans="1:21" x14ac:dyDescent="0.25">
      <c r="A102" s="221" t="s">
        <v>657</v>
      </c>
      <c r="B102" s="225"/>
      <c r="C102" s="225">
        <v>7</v>
      </c>
      <c r="D102" s="316" t="s">
        <v>663</v>
      </c>
      <c r="E102" s="226" t="s">
        <v>430</v>
      </c>
    </row>
    <row r="106" spans="1:21" x14ac:dyDescent="0.25">
      <c r="A106" t="s">
        <v>656</v>
      </c>
    </row>
    <row r="107" spans="1:21" x14ac:dyDescent="0.25">
      <c r="A107" t="s">
        <v>645</v>
      </c>
      <c r="D107">
        <v>5</v>
      </c>
      <c r="E107" t="s">
        <v>430</v>
      </c>
    </row>
    <row r="108" spans="1:21" x14ac:dyDescent="0.25">
      <c r="A108" t="s">
        <v>657</v>
      </c>
      <c r="D108">
        <v>6</v>
      </c>
      <c r="E108" t="s">
        <v>430</v>
      </c>
    </row>
    <row r="111" spans="1:21" x14ac:dyDescent="0.25">
      <c r="A111" t="s">
        <v>664</v>
      </c>
    </row>
    <row r="112" spans="1:21" x14ac:dyDescent="0.25">
      <c r="A112" t="s">
        <v>665</v>
      </c>
      <c r="D112">
        <v>4</v>
      </c>
      <c r="E112" t="s">
        <v>430</v>
      </c>
    </row>
    <row r="113" spans="1:5" x14ac:dyDescent="0.25">
      <c r="A113" t="s">
        <v>666</v>
      </c>
      <c r="D113">
        <v>4</v>
      </c>
      <c r="E113" t="s">
        <v>430</v>
      </c>
    </row>
    <row r="114" spans="1:5" x14ac:dyDescent="0.25">
      <c r="A114" t="s">
        <v>667</v>
      </c>
      <c r="D114">
        <v>8</v>
      </c>
      <c r="E114" t="s">
        <v>430</v>
      </c>
    </row>
    <row r="115" spans="1:5" x14ac:dyDescent="0.25">
      <c r="A115" t="s">
        <v>668</v>
      </c>
      <c r="D115">
        <v>4</v>
      </c>
      <c r="E115" t="s">
        <v>430</v>
      </c>
    </row>
    <row r="116" spans="1:5" x14ac:dyDescent="0.25">
      <c r="A116" t="s">
        <v>671</v>
      </c>
      <c r="D116">
        <v>26</v>
      </c>
      <c r="E116" t="s">
        <v>430</v>
      </c>
    </row>
    <row r="117" spans="1:5" x14ac:dyDescent="0.25">
      <c r="A117" t="s">
        <v>672</v>
      </c>
      <c r="D117">
        <v>6</v>
      </c>
      <c r="E117" t="s">
        <v>430</v>
      </c>
    </row>
    <row r="118" spans="1:5" x14ac:dyDescent="0.25">
      <c r="A118" t="s">
        <v>669</v>
      </c>
      <c r="D118">
        <v>3</v>
      </c>
      <c r="E118" t="s">
        <v>430</v>
      </c>
    </row>
    <row r="119" spans="1:5" x14ac:dyDescent="0.25">
      <c r="A119" t="s">
        <v>670</v>
      </c>
      <c r="D119">
        <v>26</v>
      </c>
      <c r="E119" t="s">
        <v>430</v>
      </c>
    </row>
    <row r="120" spans="1:5" x14ac:dyDescent="0.25">
      <c r="A120" t="s">
        <v>673</v>
      </c>
      <c r="D120">
        <v>6</v>
      </c>
      <c r="E120" t="s">
        <v>430</v>
      </c>
    </row>
    <row r="121" spans="1:5" x14ac:dyDescent="0.25">
      <c r="A121" t="s">
        <v>674</v>
      </c>
      <c r="D121">
        <v>8</v>
      </c>
      <c r="E121" t="s">
        <v>430</v>
      </c>
    </row>
  </sheetData>
  <mergeCells count="2">
    <mergeCell ref="B25:M36"/>
    <mergeCell ref="R79:U9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51"/>
  <sheetViews>
    <sheetView workbookViewId="0">
      <selection activeCell="B45" sqref="B45"/>
    </sheetView>
  </sheetViews>
  <sheetFormatPr defaultRowHeight="15" x14ac:dyDescent="0.25"/>
  <cols>
    <col min="1" max="1" width="53" style="271" bestFit="1" customWidth="1"/>
    <col min="2" max="2" width="27.85546875" style="271" bestFit="1" customWidth="1"/>
    <col min="3" max="3" width="12.28515625" style="271" bestFit="1" customWidth="1"/>
    <col min="4" max="4" width="9.140625" style="271"/>
    <col min="5" max="5" width="11.28515625" style="271" bestFit="1" customWidth="1"/>
    <col min="6" max="16384" width="9.140625" style="271"/>
  </cols>
  <sheetData>
    <row r="1" spans="1:12" x14ac:dyDescent="0.25">
      <c r="A1" s="294" t="s">
        <v>759</v>
      </c>
    </row>
    <row r="2" spans="1:12" x14ac:dyDescent="0.25">
      <c r="A2" s="271" t="s">
        <v>571</v>
      </c>
    </row>
    <row r="4" spans="1:12" x14ac:dyDescent="0.25">
      <c r="A4" s="271">
        <v>1996</v>
      </c>
      <c r="B4" s="271">
        <v>544000</v>
      </c>
      <c r="C4" s="271" t="s">
        <v>572</v>
      </c>
    </row>
    <row r="6" spans="1:12" x14ac:dyDescent="0.25">
      <c r="A6" s="271" t="s">
        <v>598</v>
      </c>
      <c r="B6" s="296">
        <v>0.06</v>
      </c>
    </row>
    <row r="7" spans="1:12" x14ac:dyDescent="0.25">
      <c r="A7" s="271" t="s">
        <v>599</v>
      </c>
      <c r="B7" s="271">
        <f>B4*B6</f>
        <v>32640</v>
      </c>
      <c r="C7" s="271" t="s">
        <v>572</v>
      </c>
    </row>
    <row r="8" spans="1:12" x14ac:dyDescent="0.25">
      <c r="A8" s="271" t="s">
        <v>600</v>
      </c>
      <c r="B8" s="296">
        <v>0.65</v>
      </c>
    </row>
    <row r="9" spans="1:12" x14ac:dyDescent="0.25">
      <c r="A9" s="271" t="s">
        <v>601</v>
      </c>
      <c r="B9" s="271">
        <f>B7*B8</f>
        <v>21216</v>
      </c>
      <c r="C9" s="271" t="s">
        <v>572</v>
      </c>
    </row>
    <row r="10" spans="1:12" x14ac:dyDescent="0.25">
      <c r="B10" s="271">
        <f>B9*CONVERT(2000,"lbm","kg")</f>
        <v>19246831.443840001</v>
      </c>
      <c r="C10" s="271" t="s">
        <v>576</v>
      </c>
    </row>
    <row r="14" spans="1:12" x14ac:dyDescent="0.25">
      <c r="H14" s="297">
        <f>H19*0.3</f>
        <v>0.78975546521493212</v>
      </c>
      <c r="L14" s="297">
        <f>L19*0.3</f>
        <v>0.37483248197211688</v>
      </c>
    </row>
    <row r="16" spans="1:12" x14ac:dyDescent="0.25">
      <c r="A16" s="294" t="s">
        <v>759</v>
      </c>
      <c r="H16" s="271" t="s">
        <v>722</v>
      </c>
      <c r="L16" s="271" t="s">
        <v>723</v>
      </c>
    </row>
    <row r="17" spans="1:22" x14ac:dyDescent="0.25">
      <c r="A17" s="299" t="s">
        <v>573</v>
      </c>
      <c r="B17" s="300" t="s">
        <v>574</v>
      </c>
      <c r="C17" s="301">
        <v>116920</v>
      </c>
      <c r="D17" s="300" t="s">
        <v>575</v>
      </c>
      <c r="E17" s="310">
        <f>C17*Conversions!$D$5</f>
        <v>53034.019900400002</v>
      </c>
      <c r="F17" s="300" t="s">
        <v>576</v>
      </c>
      <c r="H17" s="297">
        <f t="shared" ref="H17:H25" si="0">E17/$B$10</f>
        <v>2.7554675716440422E-3</v>
      </c>
      <c r="I17" s="271" t="s">
        <v>602</v>
      </c>
      <c r="L17" s="297">
        <f>H17*$B$39</f>
        <v>1.3077956334141111E-3</v>
      </c>
      <c r="M17" s="271" t="s">
        <v>603</v>
      </c>
      <c r="R17" s="297"/>
    </row>
    <row r="18" spans="1:22" x14ac:dyDescent="0.25">
      <c r="A18" s="302"/>
      <c r="B18" s="303" t="s">
        <v>577</v>
      </c>
      <c r="C18" s="304">
        <v>70400</v>
      </c>
      <c r="D18" s="303" t="s">
        <v>575</v>
      </c>
      <c r="E18" s="311">
        <f>C18*Conversions!$D$5</f>
        <v>31932.902848000002</v>
      </c>
      <c r="F18" s="303" t="s">
        <v>576</v>
      </c>
      <c r="H18" s="297">
        <f t="shared" si="0"/>
        <v>1.6591251885369532E-3</v>
      </c>
      <c r="I18" s="271" t="s">
        <v>602</v>
      </c>
      <c r="L18" s="297">
        <f t="shared" ref="L18:L23" si="1">H18*$B$39</f>
        <v>7.8745135641766523E-4</v>
      </c>
      <c r="M18" s="271" t="s">
        <v>603</v>
      </c>
      <c r="Q18" s="298">
        <f>L18/$L$42</f>
        <v>1.2227505534435796E-6</v>
      </c>
      <c r="R18" s="271" t="s">
        <v>420</v>
      </c>
      <c r="S18" s="313" t="str">
        <f>"This DEHPA loss factor ("&amp;TEXT(Q18/SUM(Q18,Q20),"##.00%")&amp; ") is consistent with data in Reference [2] that states that the solvent extraction mixture is 10% DEHPA."</f>
        <v>This DEHPA loss factor (10.98%) is consistent with data in Reference [2] that states that the solvent extraction mixture is 10% DEHPA.</v>
      </c>
      <c r="V18" s="297"/>
    </row>
    <row r="19" spans="1:22" x14ac:dyDescent="0.25">
      <c r="A19" s="302"/>
      <c r="B19" s="303" t="s">
        <v>578</v>
      </c>
      <c r="C19" s="304">
        <v>111703013</v>
      </c>
      <c r="D19" s="303" t="s">
        <v>575</v>
      </c>
      <c r="E19" s="311">
        <f>C19*Conversions!$D$5</f>
        <v>50667634.402810812</v>
      </c>
      <c r="F19" s="303" t="s">
        <v>576</v>
      </c>
      <c r="H19" s="297">
        <f t="shared" si="0"/>
        <v>2.6325182173831072</v>
      </c>
      <c r="I19" s="271" t="s">
        <v>602</v>
      </c>
      <c r="L19" s="297">
        <f>H19*$B$39</f>
        <v>1.2494416065737231</v>
      </c>
      <c r="M19" s="271" t="s">
        <v>603</v>
      </c>
      <c r="Q19" s="297" t="s">
        <v>624</v>
      </c>
    </row>
    <row r="20" spans="1:22" x14ac:dyDescent="0.25">
      <c r="A20" s="302"/>
      <c r="B20" s="303" t="s">
        <v>579</v>
      </c>
      <c r="C20" s="304">
        <v>84089</v>
      </c>
      <c r="D20" s="303" t="s">
        <v>580</v>
      </c>
      <c r="E20" s="311">
        <f>C20*Conversions!D7</f>
        <v>259006.72229979251</v>
      </c>
      <c r="F20" s="303" t="s">
        <v>576</v>
      </c>
      <c r="H20" s="297">
        <f t="shared" si="0"/>
        <v>1.3457109709488742E-2</v>
      </c>
      <c r="I20" s="271" t="s">
        <v>602</v>
      </c>
      <c r="L20" s="297">
        <f>H20*$B$39</f>
        <v>6.3869919927758501E-3</v>
      </c>
      <c r="M20" s="271" t="s">
        <v>603</v>
      </c>
      <c r="Q20" s="298">
        <f>L20/$L$42</f>
        <v>9.9176894297761655E-6</v>
      </c>
      <c r="R20" s="271" t="s">
        <v>420</v>
      </c>
      <c r="V20" s="297"/>
    </row>
    <row r="21" spans="1:22" x14ac:dyDescent="0.25">
      <c r="A21" s="302"/>
      <c r="B21" s="303" t="s">
        <v>581</v>
      </c>
      <c r="C21" s="304">
        <v>198746</v>
      </c>
      <c r="D21" s="303" t="s">
        <v>575</v>
      </c>
      <c r="E21" s="311">
        <f>C21*Conversions!$D$5</f>
        <v>90149.669168020002</v>
      </c>
      <c r="F21" s="303" t="s">
        <v>576</v>
      </c>
      <c r="H21" s="297">
        <f t="shared" si="0"/>
        <v>4.6838706636500756E-3</v>
      </c>
      <c r="I21" s="271" t="s">
        <v>602</v>
      </c>
      <c r="L21" s="297">
        <f t="shared" si="1"/>
        <v>2.2230512398094503E-3</v>
      </c>
      <c r="M21" s="271" t="s">
        <v>603</v>
      </c>
    </row>
    <row r="22" spans="1:22" x14ac:dyDescent="0.25">
      <c r="A22" s="302"/>
      <c r="B22" s="303" t="s">
        <v>582</v>
      </c>
      <c r="C22" s="304">
        <v>11275</v>
      </c>
      <c r="D22" s="303" t="s">
        <v>575</v>
      </c>
      <c r="E22" s="311">
        <f>C22*Conversions!$D$5</f>
        <v>5114.2539717500003</v>
      </c>
      <c r="F22" s="303" t="s">
        <v>576</v>
      </c>
      <c r="H22" s="297">
        <f t="shared" si="0"/>
        <v>2.6571926847662145E-4</v>
      </c>
      <c r="I22" s="271" t="s">
        <v>602</v>
      </c>
      <c r="L22" s="297">
        <f t="shared" si="1"/>
        <v>1.2611525630126672E-4</v>
      </c>
      <c r="M22" s="271" t="s">
        <v>603</v>
      </c>
    </row>
    <row r="23" spans="1:22" x14ac:dyDescent="0.25">
      <c r="A23" s="302"/>
      <c r="B23" s="303" t="s">
        <v>583</v>
      </c>
      <c r="C23" s="304">
        <v>165826</v>
      </c>
      <c r="D23" s="303" t="s">
        <v>575</v>
      </c>
      <c r="E23" s="311">
        <f>C23*Conversions!$D$5</f>
        <v>75217.408347620003</v>
      </c>
      <c r="F23" s="303" t="s">
        <v>576</v>
      </c>
      <c r="H23" s="297">
        <f t="shared" si="0"/>
        <v>3.9080411010558071E-3</v>
      </c>
      <c r="I23" s="271" t="s">
        <v>602</v>
      </c>
      <c r="L23" s="297">
        <f t="shared" si="1"/>
        <v>1.854828247575508E-3</v>
      </c>
      <c r="M23" s="271" t="s">
        <v>603</v>
      </c>
    </row>
    <row r="24" spans="1:22" x14ac:dyDescent="0.25">
      <c r="A24" s="302" t="s">
        <v>584</v>
      </c>
      <c r="B24" s="303" t="s">
        <v>585</v>
      </c>
      <c r="C24" s="304">
        <v>198158</v>
      </c>
      <c r="D24" s="303" t="s">
        <v>575</v>
      </c>
      <c r="E24" s="311">
        <f>C24*Conversions!$D$5</f>
        <v>89882.956854460004</v>
      </c>
      <c r="F24" s="303" t="s">
        <v>576</v>
      </c>
      <c r="H24" s="297">
        <f t="shared" si="0"/>
        <v>4.6700131975867271E-3</v>
      </c>
      <c r="I24" s="271" t="s">
        <v>602</v>
      </c>
      <c r="L24" s="297">
        <f>H24*$B$39</f>
        <v>2.2164742313211892E-3</v>
      </c>
      <c r="M24" s="271" t="s">
        <v>603</v>
      </c>
      <c r="Q24" s="271" t="s">
        <v>629</v>
      </c>
    </row>
    <row r="25" spans="1:22" x14ac:dyDescent="0.25">
      <c r="A25" s="302"/>
      <c r="B25" s="303" t="s">
        <v>586</v>
      </c>
      <c r="C25" s="304">
        <v>929111</v>
      </c>
      <c r="D25" s="303" t="s">
        <v>575</v>
      </c>
      <c r="E25" s="311">
        <f>C25*Conversions!$D$5</f>
        <v>421437.66048307001</v>
      </c>
      <c r="F25" s="303" t="s">
        <v>576</v>
      </c>
      <c r="H25" s="297">
        <f t="shared" si="0"/>
        <v>2.1896469645550528E-2</v>
      </c>
      <c r="I25" s="271" t="s">
        <v>602</v>
      </c>
      <c r="L25" s="297">
        <f>H25*$B$39</f>
        <v>1.0392467574042236E-2</v>
      </c>
      <c r="M25" s="271" t="s">
        <v>603</v>
      </c>
      <c r="Q25" s="271" t="s">
        <v>628</v>
      </c>
    </row>
    <row r="26" spans="1:22" x14ac:dyDescent="0.25">
      <c r="A26" s="302"/>
      <c r="B26" s="303" t="s">
        <v>587</v>
      </c>
      <c r="C26" s="304">
        <v>1482560</v>
      </c>
      <c r="D26" s="303" t="s">
        <v>580</v>
      </c>
      <c r="E26" s="311"/>
      <c r="F26" s="303"/>
      <c r="H26" s="297"/>
    </row>
    <row r="27" spans="1:22" x14ac:dyDescent="0.25">
      <c r="A27" s="302" t="s">
        <v>588</v>
      </c>
      <c r="B27" s="303" t="s">
        <v>589</v>
      </c>
      <c r="C27" s="304">
        <v>23656929</v>
      </c>
      <c r="D27" s="303" t="s">
        <v>575</v>
      </c>
      <c r="E27" s="311">
        <f>C27*Conversions!$D$5</f>
        <v>10730602.492031731</v>
      </c>
      <c r="F27" s="303" t="s">
        <v>576</v>
      </c>
      <c r="H27" s="297">
        <f t="shared" ref="H27:H36" si="2">E27/$B$10</f>
        <v>0.55752566459276021</v>
      </c>
      <c r="I27" s="271" t="s">
        <v>602</v>
      </c>
      <c r="L27" s="297">
        <f t="shared" ref="L27:L36" si="3">H27*$B$39</f>
        <v>0.2646119436040682</v>
      </c>
      <c r="M27" s="271" t="s">
        <v>603</v>
      </c>
      <c r="Q27" s="298">
        <f>L27/$L$42</f>
        <v>4.1088811118644128E-4</v>
      </c>
      <c r="R27" s="271" t="s">
        <v>420</v>
      </c>
      <c r="S27" s="271" t="s">
        <v>630</v>
      </c>
    </row>
    <row r="28" spans="1:22" x14ac:dyDescent="0.25">
      <c r="A28" s="302"/>
      <c r="B28" s="303" t="s">
        <v>590</v>
      </c>
      <c r="C28" s="304">
        <v>2902360</v>
      </c>
      <c r="D28" s="303" t="s">
        <v>575</v>
      </c>
      <c r="E28" s="311">
        <f>C28*Conversions!$D$5</f>
        <v>1316488.3509932</v>
      </c>
      <c r="F28" s="303" t="s">
        <v>576</v>
      </c>
      <c r="H28" s="297">
        <f t="shared" si="2"/>
        <v>6.8400263951734541E-2</v>
      </c>
      <c r="I28" s="271" t="s">
        <v>602</v>
      </c>
      <c r="L28" s="297">
        <f t="shared" si="3"/>
        <v>3.2464024414948507E-2</v>
      </c>
      <c r="M28" s="271" t="s">
        <v>603</v>
      </c>
      <c r="Q28" s="271" t="s">
        <v>626</v>
      </c>
    </row>
    <row r="29" spans="1:22" x14ac:dyDescent="0.25">
      <c r="A29" s="302"/>
      <c r="B29" s="303" t="s">
        <v>591</v>
      </c>
      <c r="C29" s="304">
        <v>935</v>
      </c>
      <c r="D29" s="303" t="s">
        <v>575</v>
      </c>
      <c r="E29" s="311">
        <f>C29*Conversions!$D$5</f>
        <v>424.10886594999999</v>
      </c>
      <c r="F29" s="303" t="s">
        <v>576</v>
      </c>
      <c r="H29" s="297">
        <f t="shared" si="2"/>
        <v>2.2035256410256409E-5</v>
      </c>
      <c r="I29" s="271" t="s">
        <v>602</v>
      </c>
      <c r="L29" s="297">
        <f t="shared" si="3"/>
        <v>1.0458338327422116E-5</v>
      </c>
      <c r="M29" s="271" t="s">
        <v>603</v>
      </c>
    </row>
    <row r="30" spans="1:22" x14ac:dyDescent="0.25">
      <c r="A30" s="302"/>
      <c r="B30" s="303" t="s">
        <v>592</v>
      </c>
      <c r="C30" s="304">
        <v>297880</v>
      </c>
      <c r="D30" s="303" t="s">
        <v>575</v>
      </c>
      <c r="E30" s="311">
        <f>C30*Conversions!$D$5</f>
        <v>135116.0951756</v>
      </c>
      <c r="F30" s="303" t="s">
        <v>576</v>
      </c>
      <c r="H30" s="297">
        <f t="shared" si="2"/>
        <v>7.0201734539969834E-3</v>
      </c>
      <c r="I30" s="271" t="s">
        <v>602</v>
      </c>
      <c r="L30" s="297">
        <f t="shared" si="3"/>
        <v>3.3319035518422462E-3</v>
      </c>
      <c r="M30" s="271" t="s">
        <v>603</v>
      </c>
    </row>
    <row r="31" spans="1:22" x14ac:dyDescent="0.25">
      <c r="A31" s="302"/>
      <c r="B31" s="303" t="s">
        <v>593</v>
      </c>
      <c r="C31" s="304">
        <v>894650</v>
      </c>
      <c r="D31" s="303" t="s">
        <v>575</v>
      </c>
      <c r="E31" s="311">
        <f>C31*Conversions!$D$5</f>
        <v>405806.41382050002</v>
      </c>
      <c r="F31" s="303" t="s">
        <v>576</v>
      </c>
      <c r="H31" s="297">
        <f t="shared" si="2"/>
        <v>2.108432315233786E-2</v>
      </c>
      <c r="I31" s="271" t="s">
        <v>602</v>
      </c>
      <c r="L31" s="297">
        <f t="shared" si="3"/>
        <v>1.0007007897998072E-2</v>
      </c>
      <c r="M31" s="271" t="s">
        <v>603</v>
      </c>
      <c r="Q31" s="271" t="s">
        <v>719</v>
      </c>
    </row>
    <row r="32" spans="1:22" x14ac:dyDescent="0.25">
      <c r="A32" s="302"/>
      <c r="B32" s="303" t="s">
        <v>594</v>
      </c>
      <c r="C32" s="304">
        <v>490250</v>
      </c>
      <c r="D32" s="303" t="s">
        <v>575</v>
      </c>
      <c r="E32" s="311">
        <f>C32*Conversions!$D$5</f>
        <v>222373.65939250001</v>
      </c>
      <c r="F32" s="303" t="s">
        <v>576</v>
      </c>
      <c r="H32" s="297">
        <f t="shared" si="2"/>
        <v>1.1553780165912519E-2</v>
      </c>
      <c r="I32" s="271" t="s">
        <v>602</v>
      </c>
      <c r="L32" s="297">
        <f t="shared" si="3"/>
        <v>5.4836367540306878E-3</v>
      </c>
      <c r="M32" s="271" t="s">
        <v>603</v>
      </c>
      <c r="Q32" s="271" t="s">
        <v>720</v>
      </c>
    </row>
    <row r="33" spans="1:17" x14ac:dyDescent="0.25">
      <c r="A33" s="302"/>
      <c r="B33" s="303" t="s">
        <v>595</v>
      </c>
      <c r="C33" s="304">
        <v>13319180</v>
      </c>
      <c r="D33" s="303" t="s">
        <v>575</v>
      </c>
      <c r="E33" s="311">
        <f>C33*Conversions!$D$5</f>
        <v>6041478.4226566004</v>
      </c>
      <c r="F33" s="303" t="s">
        <v>576</v>
      </c>
      <c r="H33" s="297">
        <f t="shared" si="2"/>
        <v>0.31389470211161391</v>
      </c>
      <c r="I33" s="271" t="s">
        <v>602</v>
      </c>
      <c r="L33" s="297">
        <f t="shared" si="3"/>
        <v>0.14898020393992956</v>
      </c>
      <c r="M33" s="271" t="s">
        <v>603</v>
      </c>
      <c r="Q33" s="271" t="s">
        <v>627</v>
      </c>
    </row>
    <row r="34" spans="1:17" x14ac:dyDescent="0.25">
      <c r="A34" s="302"/>
      <c r="B34" s="303" t="s">
        <v>596</v>
      </c>
      <c r="C34" s="304">
        <v>964550</v>
      </c>
      <c r="D34" s="303" t="s">
        <v>575</v>
      </c>
      <c r="E34" s="311">
        <f>C34*Conversions!$D$5</f>
        <v>437512.52048350003</v>
      </c>
      <c r="F34" s="303" t="s">
        <v>576</v>
      </c>
      <c r="H34" s="297">
        <f t="shared" si="2"/>
        <v>2.2731664781297137E-2</v>
      </c>
      <c r="I34" s="271" t="s">
        <v>602</v>
      </c>
      <c r="L34" s="297">
        <f t="shared" si="3"/>
        <v>1.0788866560122999E-2</v>
      </c>
      <c r="M34" s="271" t="s">
        <v>603</v>
      </c>
      <c r="Q34" s="271" t="s">
        <v>721</v>
      </c>
    </row>
    <row r="35" spans="1:17" x14ac:dyDescent="0.25">
      <c r="A35" s="302"/>
      <c r="B35" s="303" t="s">
        <v>625</v>
      </c>
      <c r="C35" s="304">
        <v>13300</v>
      </c>
      <c r="D35" s="303" t="s">
        <v>575</v>
      </c>
      <c r="E35" s="311">
        <f>C35*Conversions!$D$5</f>
        <v>6032.7785210000002</v>
      </c>
      <c r="F35" s="303" t="s">
        <v>576</v>
      </c>
      <c r="H35" s="297">
        <f t="shared" si="2"/>
        <v>3.1344268476621415E-4</v>
      </c>
      <c r="I35" s="271" t="s">
        <v>602</v>
      </c>
      <c r="L35" s="297">
        <f t="shared" si="3"/>
        <v>1.4876566818686004E-4</v>
      </c>
      <c r="M35" s="271" t="s">
        <v>603</v>
      </c>
    </row>
    <row r="36" spans="1:17" x14ac:dyDescent="0.25">
      <c r="A36" s="305"/>
      <c r="B36" s="306" t="s">
        <v>597</v>
      </c>
      <c r="C36" s="307">
        <v>142400</v>
      </c>
      <c r="D36" s="306" t="s">
        <v>575</v>
      </c>
      <c r="E36" s="312">
        <f>C36*Conversions!$D$5</f>
        <v>64591.553488000005</v>
      </c>
      <c r="F36" s="306" t="s">
        <v>576</v>
      </c>
      <c r="H36" s="297">
        <f t="shared" si="2"/>
        <v>3.3559577677224738E-3</v>
      </c>
      <c r="I36" s="271" t="s">
        <v>602</v>
      </c>
      <c r="L36" s="297">
        <f t="shared" si="3"/>
        <v>1.5927993345720957E-3</v>
      </c>
      <c r="M36" s="271" t="s">
        <v>603</v>
      </c>
    </row>
    <row r="39" spans="1:17" x14ac:dyDescent="0.25">
      <c r="A39" s="271" t="s">
        <v>623</v>
      </c>
      <c r="B39" s="297">
        <f>concentrate_composition!B24/concentrate_composition!D79</f>
        <v>0.47461840845901099</v>
      </c>
      <c r="C39" s="271" t="s">
        <v>44</v>
      </c>
      <c r="D39" s="297"/>
    </row>
    <row r="41" spans="1:17" x14ac:dyDescent="0.25">
      <c r="A41" s="271" t="s">
        <v>761</v>
      </c>
    </row>
    <row r="42" spans="1:17" x14ac:dyDescent="0.25">
      <c r="A42" s="271" t="s">
        <v>760</v>
      </c>
      <c r="L42" s="271">
        <f>284+15*(10+14)</f>
        <v>644</v>
      </c>
      <c r="M42" s="271" t="s">
        <v>690</v>
      </c>
    </row>
    <row r="44" spans="1:17" x14ac:dyDescent="0.25">
      <c r="A44" s="271" t="s">
        <v>604</v>
      </c>
    </row>
    <row r="45" spans="1:17" x14ac:dyDescent="0.25">
      <c r="A45" s="271" t="s">
        <v>605</v>
      </c>
      <c r="B45" s="298">
        <f>L18/$L$42</f>
        <v>1.2227505534435796E-6</v>
      </c>
      <c r="C45" s="271" t="s">
        <v>606</v>
      </c>
    </row>
    <row r="47" spans="1:17" x14ac:dyDescent="0.25">
      <c r="B47" s="297"/>
    </row>
    <row r="49" spans="1:6" x14ac:dyDescent="0.25">
      <c r="A49" s="271" t="s">
        <v>762</v>
      </c>
      <c r="B49" s="271">
        <v>1E-4</v>
      </c>
      <c r="C49" s="271" t="s">
        <v>420</v>
      </c>
      <c r="F49" s="271" t="s">
        <v>763</v>
      </c>
    </row>
    <row r="50" spans="1:6" x14ac:dyDescent="0.25">
      <c r="A50" s="271" t="s">
        <v>764</v>
      </c>
      <c r="B50" s="271">
        <v>0.18</v>
      </c>
      <c r="C50" s="271" t="s">
        <v>767</v>
      </c>
      <c r="F50" s="271" t="s">
        <v>766</v>
      </c>
    </row>
    <row r="51" spans="1:6" x14ac:dyDescent="0.25">
      <c r="B51" s="326">
        <f>B50*concentrate_composition!D82</f>
        <v>0.37925204078034652</v>
      </c>
      <c r="C51" s="271" t="s">
        <v>769</v>
      </c>
    </row>
  </sheetData>
  <conditionalFormatting sqref="L17:L36">
    <cfRule type="cellIs" dxfId="0" priority="1" operator="greaterThan">
      <formula>0.0099999</formula>
    </cfRule>
  </conditionalFormatting>
  <pageMargins left="0.7" right="0.7" top="0.75" bottom="0.75" header="0.3" footer="0.3"/>
  <pageSetup orientation="portrait" r:id="rId1"/>
  <ignoredErrors>
    <ignoredError sqref="E2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36D04-FF79-4077-B9BD-809F792E5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61D58-D57F-4CD4-9359-85D05653354B}">
  <ds:schemaRefs>
    <ds:schemaRef ds:uri="http://schemas.microsoft.com/office/2006/documentManagement/types"/>
    <ds:schemaRef ds:uri="http://schemas.microsoft.com/office/infopath/2007/PartnerControls"/>
    <ds:schemaRef ds:uri="http://schemas.openxmlformats.org/package/2006/metadata/core-properties"/>
    <ds:schemaRef ds:uri="c75d1172-787a-498f-aaff-e17d79596d1f"/>
    <ds:schemaRef ds:uri="http://schemas.microsoft.com/office/2006/metadata/properties"/>
    <ds:schemaRef ds:uri="http://purl.org/dc/dcmitype/"/>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9D265F70-A1D1-417F-AD71-7B1739670D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Info</vt:lpstr>
      <vt:lpstr>Data Summary</vt:lpstr>
      <vt:lpstr>PS</vt:lpstr>
      <vt:lpstr>Reference Source Info</vt:lpstr>
      <vt:lpstr>DQI</vt:lpstr>
      <vt:lpstr>mixer_settler_power</vt:lpstr>
      <vt:lpstr>concentrate_composition</vt:lpstr>
      <vt:lpstr>Separation_factors</vt:lpstr>
      <vt:lpstr>material_use</vt:lpstr>
      <vt:lpstr>Conversions</vt:lpstr>
      <vt:lpstr>Assumptions</vt:lpstr>
      <vt:lpstr>_STDS_DG383A3BC0</vt:lpstr>
      <vt:lpstr>Chart</vt:lpstr>
      <vt:lpstr>ST_MotorpowerHP</vt:lpstr>
      <vt:lpstr>ST_Totalflowgpm</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DS_Stage1_O_rare_earth_solvent_extraction_2014.01</dc:title>
  <dc:creator>Matthew B. Jamieson</dc:creator>
  <cp:lastModifiedBy>Matthew B. Jamieson</cp:lastModifiedBy>
  <cp:lastPrinted>2014-07-18T17:30:29Z</cp:lastPrinted>
  <dcterms:created xsi:type="dcterms:W3CDTF">2014-01-24T17:40:26Z</dcterms:created>
  <dcterms:modified xsi:type="dcterms:W3CDTF">2014-12-19T18:00:58Z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