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6165" windowWidth="25230" windowHeight="6225" activeTab="1"/>
  </bookViews>
  <sheets>
    <sheet name="Info" sheetId="1" r:id="rId1"/>
    <sheet name="Data Summary" sheetId="2" r:id="rId2"/>
    <sheet name="PS" sheetId="3" r:id="rId3"/>
    <sheet name="Reference Source Info" sheetId="4" r:id="rId4"/>
    <sheet name="DQI" sheetId="5" r:id="rId5"/>
    <sheet name="material_input_output" sheetId="9" r:id="rId6"/>
    <sheet name="energy" sheetId="6" r:id="rId7"/>
    <sheet name="Conversions" sheetId="7" r:id="rId8"/>
    <sheet name="Assumptions" sheetId="8" r:id="rId9"/>
    <sheet name="Chart" sheetId="10" r:id="rId10"/>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TWBD_StatToolsDiscriminant_HasDefaultInfo" hidden="1">"TRUE"</definedName>
    <definedName name="STWBD_StatToolsDiscriminant_IncludeClassificationResults" hidden="1">"TRUE"</definedName>
    <definedName name="STWBD_StatToolsDiscriminant_IncludeClassificationSummary" hidden="1">"TRUE"</definedName>
    <definedName name="STWBD_StatToolsDiscriminant_IncludePrediction" hidden="1">"FALSE"</definedName>
    <definedName name="STWBD_StatToolsDiscriminant_IncludeVarsAndCovars" hidden="1">"TRUE"</definedName>
    <definedName name="STWBD_StatToolsDiscriminant_UseMisclassification" hidden="1">"TRUE"</definedName>
    <definedName name="STWBD_StatToolsDiscriminant_VariableDependent" hidden="1">"U_x0001_VGC5E36873A1078A5_x0001_"</definedName>
    <definedName name="STWBD_StatToolsDiscriminant_VariableListIndependent" hidden="1">1</definedName>
    <definedName name="STWBD_StatToolsDiscriminant_VariableListIndependent_1" hidden="1">"U_x0001_VG1D44CEF615C2DC14_x0001_"</definedName>
    <definedName name="STWBD_StatToolsDiscriminant_VarSelectorDefaultDataSet" hidden="1">"DG383A3BC0"</definedName>
    <definedName name="STWBD_StatToolsRegression_blockList" hidden="1">"-1"</definedName>
    <definedName name="STWBD_StatToolsRegression_ConfidenceLevel" hidden="1">" .95"</definedName>
    <definedName name="STWBD_StatToolsRegression_FValueToEnter" hidden="1">" 2.2"</definedName>
    <definedName name="STWBD_StatToolsRegression_FValueToLeave" hidden="1">" 1.1"</definedName>
    <definedName name="STWBD_StatToolsRegression_GraphFittedValueVsActualYValue" hidden="1">"TRUE"</definedName>
    <definedName name="STWBD_StatToolsRegression_GraphFittedValueVsXValue" hidden="1">"TRUE"</definedName>
    <definedName name="STWBD_StatToolsRegression_GraphResidualVsFittedValue" hidden="1">"TRUE"</definedName>
    <definedName name="STWBD_StatToolsRegression_GraphResidualVsXValue" hidden="1">"TRUE"</definedName>
    <definedName name="STWBD_StatToolsRegression_HasDefaultInfo" hidden="1">"TRUE"</definedName>
    <definedName name="STWBD_StatToolsRegression_IncludePrediction" hidden="1">"FALSE"</definedName>
    <definedName name="STWBD_StatToolsRegression_IncludeSteps" hidden="1">"FALSE"</definedName>
    <definedName name="STWBD_StatToolsRegression_NumberOfBlocks" hidden="1">" 0"</definedName>
    <definedName name="STWBD_StatToolsRegression_pValueToEnter" hidden="1">" .05"</definedName>
    <definedName name="STWBD_StatToolsRegression_pValueToLeave" hidden="1">" .1"</definedName>
    <definedName name="STWBD_StatToolsRegression_RegressionType" hidden="1">" 0"</definedName>
    <definedName name="STWBD_StatToolsRegression_throughOrigin" hidden="1">"TRUE"</definedName>
    <definedName name="STWBD_StatToolsRegression_useFValue" hidden="1">"FALSE"</definedName>
    <definedName name="STWBD_StatToolsRegression_usePValue" hidden="1">"TRUE"</definedName>
    <definedName name="STWBD_StatToolsRegression_VariableDependent" hidden="1">"U_x0001_VGC5E36873A1078A5_x0001_"</definedName>
    <definedName name="STWBD_StatToolsRegression_VariableListIndependent" hidden="1">1</definedName>
    <definedName name="STWBD_StatToolsRegression_VariableListIndependent_1" hidden="1">"U_x0001_VG1D44CEF615C2DC14_x0001_"</definedName>
    <definedName name="STWBD_StatToolsRegression_VarSelectorDefaultDataSet" hidden="1">"DG383A3BC0"</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s>
  <calcPr calcId="145621" concurrentCalc="0"/>
</workbook>
</file>

<file path=xl/calcChain.xml><?xml version="1.0" encoding="utf-8"?>
<calcChain xmlns="http://schemas.openxmlformats.org/spreadsheetml/2006/main">
  <c r="B23" i="6" l="1"/>
  <c r="K43" i="9"/>
  <c r="E33" i="6"/>
  <c r="E27" i="6"/>
  <c r="G27" i="6"/>
  <c r="E28" i="6"/>
  <c r="G28" i="6"/>
  <c r="Y28" i="6"/>
  <c r="Y29" i="6"/>
  <c r="B29" i="6"/>
  <c r="E29" i="6"/>
  <c r="G29" i="6"/>
  <c r="Y32" i="6"/>
  <c r="B31" i="6"/>
  <c r="E31" i="6"/>
  <c r="G31" i="6"/>
  <c r="G35" i="6"/>
  <c r="B37" i="6"/>
  <c r="B38" i="6"/>
  <c r="D38" i="6"/>
  <c r="B39" i="6"/>
  <c r="Y30" i="6"/>
  <c r="Y31" i="6"/>
  <c r="B30" i="6"/>
  <c r="E30" i="6"/>
  <c r="G30" i="6"/>
  <c r="G34" i="6"/>
  <c r="B40" i="6"/>
  <c r="B41" i="6"/>
  <c r="B46" i="6"/>
  <c r="B42" i="6"/>
  <c r="B43" i="6"/>
  <c r="B45" i="6"/>
  <c r="B22" i="6"/>
  <c r="B21" i="6"/>
  <c r="B16" i="6"/>
  <c r="B10" i="9"/>
  <c r="B28" i="9"/>
  <c r="D28" i="9"/>
  <c r="D48" i="9"/>
  <c r="E111" i="9"/>
  <c r="E128" i="9"/>
  <c r="B11" i="9"/>
  <c r="B29" i="9"/>
  <c r="D29" i="9"/>
  <c r="D49" i="9"/>
  <c r="E112" i="9"/>
  <c r="E129" i="9"/>
  <c r="B12" i="9"/>
  <c r="B30" i="9"/>
  <c r="D30" i="9"/>
  <c r="D50" i="9"/>
  <c r="E113" i="9"/>
  <c r="E130" i="9"/>
  <c r="B13" i="9"/>
  <c r="B31" i="9"/>
  <c r="D31" i="9"/>
  <c r="D51" i="9"/>
  <c r="E114" i="9"/>
  <c r="E131" i="9"/>
  <c r="B14" i="9"/>
  <c r="B32" i="9"/>
  <c r="D32" i="9"/>
  <c r="D52" i="9"/>
  <c r="E115" i="9"/>
  <c r="E132" i="9"/>
  <c r="B15" i="9"/>
  <c r="B33" i="9"/>
  <c r="D33" i="9"/>
  <c r="D53" i="9"/>
  <c r="E116" i="9"/>
  <c r="E133" i="9"/>
  <c r="B16" i="9"/>
  <c r="B34" i="9"/>
  <c r="D34" i="9"/>
  <c r="D54" i="9"/>
  <c r="E117" i="9"/>
  <c r="E134" i="9"/>
  <c r="B17" i="9"/>
  <c r="B35" i="9"/>
  <c r="D35" i="9"/>
  <c r="D55" i="9"/>
  <c r="E118" i="9"/>
  <c r="E135" i="9"/>
  <c r="B18" i="9"/>
  <c r="B36" i="9"/>
  <c r="D36" i="9"/>
  <c r="D56" i="9"/>
  <c r="E119" i="9"/>
  <c r="E136" i="9"/>
  <c r="B19" i="9"/>
  <c r="B37" i="9"/>
  <c r="D37" i="9"/>
  <c r="D57" i="9"/>
  <c r="E120" i="9"/>
  <c r="E137" i="9"/>
  <c r="B20" i="9"/>
  <c r="B38" i="9"/>
  <c r="D38" i="9"/>
  <c r="D58" i="9"/>
  <c r="E121" i="9"/>
  <c r="E138" i="9"/>
  <c r="B21" i="9"/>
  <c r="B39" i="9"/>
  <c r="D39" i="9"/>
  <c r="D59" i="9"/>
  <c r="E122" i="9"/>
  <c r="E139" i="9"/>
  <c r="B22" i="9"/>
  <c r="B40" i="9"/>
  <c r="D40" i="9"/>
  <c r="D60" i="9"/>
  <c r="E123" i="9"/>
  <c r="E140" i="9"/>
  <c r="B23" i="9"/>
  <c r="B41" i="9"/>
  <c r="D41" i="9"/>
  <c r="D61" i="9"/>
  <c r="E124" i="9"/>
  <c r="E141" i="9"/>
  <c r="B9" i="9"/>
  <c r="B27" i="9"/>
  <c r="D27" i="9"/>
  <c r="D47" i="9"/>
  <c r="E110" i="9"/>
  <c r="E127" i="9"/>
  <c r="C111" i="9"/>
  <c r="D94" i="9"/>
  <c r="C128" i="9"/>
  <c r="C112" i="9"/>
  <c r="D95" i="9"/>
  <c r="C129" i="9"/>
  <c r="C113" i="9"/>
  <c r="D96" i="9"/>
  <c r="C130" i="9"/>
  <c r="C114" i="9"/>
  <c r="D97" i="9"/>
  <c r="C131" i="9"/>
  <c r="C115" i="9"/>
  <c r="D98" i="9"/>
  <c r="C132" i="9"/>
  <c r="C116" i="9"/>
  <c r="D99" i="9"/>
  <c r="C133" i="9"/>
  <c r="C117" i="9"/>
  <c r="D100" i="9"/>
  <c r="C134" i="9"/>
  <c r="C118" i="9"/>
  <c r="D101" i="9"/>
  <c r="C135" i="9"/>
  <c r="C119" i="9"/>
  <c r="D102" i="9"/>
  <c r="C136" i="9"/>
  <c r="C120" i="9"/>
  <c r="D103" i="9"/>
  <c r="C137" i="9"/>
  <c r="C121" i="9"/>
  <c r="D104" i="9"/>
  <c r="C138" i="9"/>
  <c r="C122" i="9"/>
  <c r="D105" i="9"/>
  <c r="C139" i="9"/>
  <c r="C123" i="9"/>
  <c r="D106" i="9"/>
  <c r="C140" i="9"/>
  <c r="C124" i="9"/>
  <c r="D107" i="9"/>
  <c r="C141" i="9"/>
  <c r="C110" i="9"/>
  <c r="D93" i="9"/>
  <c r="C127" i="9"/>
  <c r="D110" i="9"/>
  <c r="B112" i="9"/>
  <c r="B110" i="9"/>
  <c r="F88" i="9"/>
  <c r="F110" i="9"/>
  <c r="M43" i="9"/>
  <c r="F127" i="9"/>
  <c r="F47" i="9"/>
  <c r="F64" i="9"/>
  <c r="G47" i="9"/>
  <c r="K42" i="9"/>
  <c r="M42" i="9"/>
  <c r="G64" i="9"/>
  <c r="E47" i="9"/>
  <c r="K47" i="9"/>
  <c r="M47" i="9"/>
  <c r="E64" i="9"/>
  <c r="I7" i="5"/>
  <c r="C23" i="2"/>
  <c r="C24" i="2"/>
  <c r="C25" i="2"/>
  <c r="C26" i="2"/>
  <c r="C27" i="2"/>
  <c r="C28" i="2"/>
  <c r="C29" i="2"/>
  <c r="C30" i="2"/>
  <c r="C31" i="2"/>
  <c r="C32" i="2"/>
  <c r="C33" i="2"/>
  <c r="C34" i="2"/>
  <c r="C35" i="2"/>
  <c r="C36" i="2"/>
  <c r="C37" i="2"/>
  <c r="C38" i="2"/>
  <c r="E38" i="2"/>
  <c r="C39" i="2"/>
  <c r="E48" i="9"/>
  <c r="E65" i="9"/>
  <c r="E39" i="2"/>
  <c r="C40" i="2"/>
  <c r="E49" i="9"/>
  <c r="E66" i="9"/>
  <c r="E40" i="2"/>
  <c r="C41" i="2"/>
  <c r="E50" i="9"/>
  <c r="E67" i="9"/>
  <c r="E41" i="2"/>
  <c r="C42" i="2"/>
  <c r="E51" i="9"/>
  <c r="E68" i="9"/>
  <c r="E42" i="2"/>
  <c r="C43" i="2"/>
  <c r="E52" i="9"/>
  <c r="E69" i="9"/>
  <c r="E43" i="2"/>
  <c r="C44" i="2"/>
  <c r="E53" i="9"/>
  <c r="E70" i="9"/>
  <c r="E44" i="2"/>
  <c r="C45" i="2"/>
  <c r="E54" i="9"/>
  <c r="E71" i="9"/>
  <c r="E45" i="2"/>
  <c r="C46" i="2"/>
  <c r="E55" i="9"/>
  <c r="E72" i="9"/>
  <c r="E46" i="2"/>
  <c r="C47" i="2"/>
  <c r="E56" i="9"/>
  <c r="E73" i="9"/>
  <c r="E47" i="2"/>
  <c r="C48" i="2"/>
  <c r="E57" i="9"/>
  <c r="E74" i="9"/>
  <c r="E48" i="2"/>
  <c r="C49" i="2"/>
  <c r="E58" i="9"/>
  <c r="E75" i="9"/>
  <c r="E49" i="2"/>
  <c r="C50" i="2"/>
  <c r="E59" i="9"/>
  <c r="E76" i="9"/>
  <c r="E50" i="2"/>
  <c r="C51" i="2"/>
  <c r="E60" i="9"/>
  <c r="E77" i="9"/>
  <c r="E51" i="2"/>
  <c r="C52" i="2"/>
  <c r="E61" i="9"/>
  <c r="E78" i="9"/>
  <c r="E52" i="2"/>
  <c r="E53" i="2"/>
  <c r="C54" i="2"/>
  <c r="E54" i="2"/>
  <c r="C55" i="2"/>
  <c r="G48" i="9"/>
  <c r="G65" i="9"/>
  <c r="E55" i="2"/>
  <c r="C56" i="2"/>
  <c r="G49" i="9"/>
  <c r="G66" i="9"/>
  <c r="E56" i="2"/>
  <c r="C57" i="2"/>
  <c r="G50" i="9"/>
  <c r="G67" i="9"/>
  <c r="E57" i="2"/>
  <c r="C58" i="2"/>
  <c r="G51" i="9"/>
  <c r="G68" i="9"/>
  <c r="E58" i="2"/>
  <c r="C59" i="2"/>
  <c r="G52" i="9"/>
  <c r="G69" i="9"/>
  <c r="E59" i="2"/>
  <c r="C60" i="2"/>
  <c r="G53" i="9"/>
  <c r="G70" i="9"/>
  <c r="E60" i="2"/>
  <c r="C61" i="2"/>
  <c r="G54" i="9"/>
  <c r="G71" i="9"/>
  <c r="E61" i="2"/>
  <c r="C62" i="2"/>
  <c r="G55" i="9"/>
  <c r="G72" i="9"/>
  <c r="E62" i="2"/>
  <c r="C63" i="2"/>
  <c r="G56" i="9"/>
  <c r="G73" i="9"/>
  <c r="E63" i="2"/>
  <c r="C64" i="2"/>
  <c r="G57" i="9"/>
  <c r="G74" i="9"/>
  <c r="E64" i="2"/>
  <c r="C65" i="2"/>
  <c r="G58" i="9"/>
  <c r="G75" i="9"/>
  <c r="E65" i="2"/>
  <c r="C66" i="2"/>
  <c r="G59" i="9"/>
  <c r="G76" i="9"/>
  <c r="E66" i="2"/>
  <c r="C67" i="2"/>
  <c r="G60" i="9"/>
  <c r="G77" i="9"/>
  <c r="E67" i="2"/>
  <c r="C68" i="2"/>
  <c r="G61" i="9"/>
  <c r="G78" i="9"/>
  <c r="E68" i="2"/>
  <c r="E69" i="2"/>
  <c r="C70" i="2"/>
  <c r="E70" i="2"/>
  <c r="C71" i="2"/>
  <c r="F48" i="9"/>
  <c r="F65" i="9"/>
  <c r="E71" i="2"/>
  <c r="C72" i="2"/>
  <c r="F49" i="9"/>
  <c r="F66" i="9"/>
  <c r="E72" i="2"/>
  <c r="C73" i="2"/>
  <c r="F50" i="9"/>
  <c r="F67" i="9"/>
  <c r="E73" i="2"/>
  <c r="C74" i="2"/>
  <c r="F51" i="9"/>
  <c r="F68" i="9"/>
  <c r="E74" i="2"/>
  <c r="C75" i="2"/>
  <c r="F52" i="9"/>
  <c r="F69" i="9"/>
  <c r="E75" i="2"/>
  <c r="C76" i="2"/>
  <c r="F53" i="9"/>
  <c r="F70" i="9"/>
  <c r="E76" i="2"/>
  <c r="C77" i="2"/>
  <c r="F54" i="9"/>
  <c r="F71" i="9"/>
  <c r="E77" i="2"/>
  <c r="C78" i="2"/>
  <c r="F55" i="9"/>
  <c r="F72" i="9"/>
  <c r="E78" i="2"/>
  <c r="C79" i="2"/>
  <c r="F56" i="9"/>
  <c r="F73" i="9"/>
  <c r="E79" i="2"/>
  <c r="C80" i="2"/>
  <c r="F57" i="9"/>
  <c r="F74" i="9"/>
  <c r="E80" i="2"/>
  <c r="C81" i="2"/>
  <c r="F58" i="9"/>
  <c r="F75" i="9"/>
  <c r="E81" i="2"/>
  <c r="C82" i="2"/>
  <c r="F59" i="9"/>
  <c r="F76" i="9"/>
  <c r="E82" i="2"/>
  <c r="C83" i="2"/>
  <c r="F60" i="9"/>
  <c r="F77" i="9"/>
  <c r="E83" i="2"/>
  <c r="C84" i="2"/>
  <c r="F61" i="9"/>
  <c r="F78" i="9"/>
  <c r="E84" i="2"/>
  <c r="E85" i="2"/>
  <c r="C86" i="2"/>
  <c r="K40" i="9"/>
  <c r="M40" i="9"/>
  <c r="D127" i="9"/>
  <c r="E86" i="2"/>
  <c r="C87" i="2"/>
  <c r="D111" i="9"/>
  <c r="D128" i="9"/>
  <c r="E87" i="2"/>
  <c r="C88" i="2"/>
  <c r="D112" i="9"/>
  <c r="D129" i="9"/>
  <c r="E88" i="2"/>
  <c r="C89" i="2"/>
  <c r="D113" i="9"/>
  <c r="D130" i="9"/>
  <c r="E89" i="2"/>
  <c r="C90" i="2"/>
  <c r="D114" i="9"/>
  <c r="D131" i="9"/>
  <c r="E90" i="2"/>
  <c r="C91" i="2"/>
  <c r="D115" i="9"/>
  <c r="D132" i="9"/>
  <c r="E91" i="2"/>
  <c r="C92" i="2"/>
  <c r="D116" i="9"/>
  <c r="D133" i="9"/>
  <c r="E92" i="2"/>
  <c r="C93" i="2"/>
  <c r="D117" i="9"/>
  <c r="D134" i="9"/>
  <c r="E93" i="2"/>
  <c r="C94" i="2"/>
  <c r="D118" i="9"/>
  <c r="D135" i="9"/>
  <c r="E94" i="2"/>
  <c r="C95" i="2"/>
  <c r="D119" i="9"/>
  <c r="D136" i="9"/>
  <c r="E95" i="2"/>
  <c r="C96" i="2"/>
  <c r="D120" i="9"/>
  <c r="D137" i="9"/>
  <c r="E96" i="2"/>
  <c r="C97" i="2"/>
  <c r="D121" i="9"/>
  <c r="D138" i="9"/>
  <c r="E97" i="2"/>
  <c r="C98" i="2"/>
  <c r="D122" i="9"/>
  <c r="D139" i="9"/>
  <c r="E98" i="2"/>
  <c r="C99" i="2"/>
  <c r="D123" i="9"/>
  <c r="D140" i="9"/>
  <c r="E99" i="2"/>
  <c r="C100" i="2"/>
  <c r="D124" i="9"/>
  <c r="D141" i="9"/>
  <c r="E100" i="2"/>
  <c r="E101" i="2"/>
  <c r="C102" i="2"/>
  <c r="E102" i="2"/>
  <c r="C103" i="2"/>
  <c r="F87" i="9"/>
  <c r="F111" i="9"/>
  <c r="F128" i="9"/>
  <c r="E103" i="2"/>
  <c r="C104" i="2"/>
  <c r="F89" i="9"/>
  <c r="F112" i="9"/>
  <c r="F129" i="9"/>
  <c r="E104" i="2"/>
  <c r="C105" i="2"/>
  <c r="F113" i="9"/>
  <c r="F130" i="9"/>
  <c r="E105" i="2"/>
  <c r="C106" i="2"/>
  <c r="F114" i="9"/>
  <c r="F131" i="9"/>
  <c r="E106" i="2"/>
  <c r="C107" i="2"/>
  <c r="F115" i="9"/>
  <c r="F132" i="9"/>
  <c r="E107" i="2"/>
  <c r="C108" i="2"/>
  <c r="F116" i="9"/>
  <c r="F133" i="9"/>
  <c r="E108" i="2"/>
  <c r="C109" i="2"/>
  <c r="F90" i="9"/>
  <c r="F117" i="9"/>
  <c r="F134" i="9"/>
  <c r="E109" i="2"/>
  <c r="C110" i="2"/>
  <c r="F118" i="9"/>
  <c r="F135" i="9"/>
  <c r="E110" i="2"/>
  <c r="C111" i="2"/>
  <c r="F119" i="9"/>
  <c r="F136" i="9"/>
  <c r="E111" i="2"/>
  <c r="C112" i="2"/>
  <c r="F120" i="9"/>
  <c r="F137" i="9"/>
  <c r="E112" i="2"/>
  <c r="C113" i="2"/>
  <c r="F121" i="9"/>
  <c r="F138" i="9"/>
  <c r="E113" i="2"/>
  <c r="C114" i="2"/>
  <c r="F122" i="9"/>
  <c r="F139" i="9"/>
  <c r="E114" i="2"/>
  <c r="C115" i="2"/>
  <c r="F123" i="9"/>
  <c r="F140" i="9"/>
  <c r="E115" i="2"/>
  <c r="C116" i="2"/>
  <c r="F124" i="9"/>
  <c r="F141" i="9"/>
  <c r="E116" i="2"/>
  <c r="E117" i="2"/>
  <c r="C118" i="2"/>
  <c r="E118" i="2"/>
  <c r="C119" i="2"/>
  <c r="E119" i="2"/>
  <c r="C120" i="2"/>
  <c r="E120" i="2"/>
  <c r="C121" i="2"/>
  <c r="E121" i="2"/>
  <c r="C122" i="2"/>
  <c r="E122" i="2"/>
  <c r="C123" i="2"/>
  <c r="E123" i="2"/>
  <c r="C124" i="2"/>
  <c r="E124" i="2"/>
  <c r="C125" i="2"/>
  <c r="E125" i="2"/>
  <c r="C126" i="2"/>
  <c r="E126" i="2"/>
  <c r="C127" i="2"/>
  <c r="E127" i="2"/>
  <c r="C128" i="2"/>
  <c r="E128" i="2"/>
  <c r="C129" i="2"/>
  <c r="E129" i="2"/>
  <c r="C130" i="2"/>
  <c r="E130" i="2"/>
  <c r="C131" i="2"/>
  <c r="E131" i="2"/>
  <c r="C132" i="2"/>
  <c r="E132" i="2"/>
  <c r="E134" i="2"/>
  <c r="E135" i="2"/>
  <c r="F135" i="2"/>
  <c r="G135" i="2"/>
  <c r="M154" i="2"/>
  <c r="M153" i="2"/>
  <c r="M152" i="2"/>
  <c r="M151" i="2"/>
  <c r="M145" i="2"/>
  <c r="M144" i="2"/>
  <c r="M143" i="2"/>
  <c r="B117" i="9"/>
  <c r="B135" i="2"/>
  <c r="J119" i="2"/>
  <c r="J120" i="2"/>
  <c r="J121" i="2"/>
  <c r="J122" i="2"/>
  <c r="J123" i="2"/>
  <c r="J124" i="2"/>
  <c r="J125" i="2"/>
  <c r="J126" i="2"/>
  <c r="J127" i="2"/>
  <c r="J128" i="2"/>
  <c r="J129" i="2"/>
  <c r="J130" i="2"/>
  <c r="J131" i="2"/>
  <c r="J132" i="2"/>
  <c r="J118" i="2"/>
  <c r="J103" i="2"/>
  <c r="J104" i="2"/>
  <c r="J105" i="2"/>
  <c r="J106" i="2"/>
  <c r="J107" i="2"/>
  <c r="J108" i="2"/>
  <c r="J109" i="2"/>
  <c r="J110" i="2"/>
  <c r="J111" i="2"/>
  <c r="J112" i="2"/>
  <c r="J113" i="2"/>
  <c r="J114" i="2"/>
  <c r="J115" i="2"/>
  <c r="J116" i="2"/>
  <c r="J102" i="2"/>
  <c r="J87" i="2"/>
  <c r="J88" i="2"/>
  <c r="J89" i="2"/>
  <c r="J90" i="2"/>
  <c r="J91" i="2"/>
  <c r="J92" i="2"/>
  <c r="J93" i="2"/>
  <c r="J94" i="2"/>
  <c r="J95" i="2"/>
  <c r="J96" i="2"/>
  <c r="J97" i="2"/>
  <c r="J98" i="2"/>
  <c r="J99" i="2"/>
  <c r="J100" i="2"/>
  <c r="J86" i="2"/>
  <c r="J71" i="2"/>
  <c r="J72" i="2"/>
  <c r="J73" i="2"/>
  <c r="J74" i="2"/>
  <c r="J75" i="2"/>
  <c r="J76" i="2"/>
  <c r="J77" i="2"/>
  <c r="J78" i="2"/>
  <c r="J79" i="2"/>
  <c r="J80" i="2"/>
  <c r="J81" i="2"/>
  <c r="J82" i="2"/>
  <c r="J83" i="2"/>
  <c r="J84" i="2"/>
  <c r="J70" i="2"/>
  <c r="J55" i="2"/>
  <c r="J56" i="2"/>
  <c r="J57" i="2"/>
  <c r="J58" i="2"/>
  <c r="J59" i="2"/>
  <c r="J60" i="2"/>
  <c r="J61" i="2"/>
  <c r="J62" i="2"/>
  <c r="J63" i="2"/>
  <c r="J64" i="2"/>
  <c r="J65" i="2"/>
  <c r="J66" i="2"/>
  <c r="J67" i="2"/>
  <c r="J68" i="2"/>
  <c r="J54" i="2"/>
  <c r="J39" i="2"/>
  <c r="J40" i="2"/>
  <c r="J41" i="2"/>
  <c r="J42" i="2"/>
  <c r="J43" i="2"/>
  <c r="J44" i="2"/>
  <c r="J45" i="2"/>
  <c r="J46" i="2"/>
  <c r="J47" i="2"/>
  <c r="J48" i="2"/>
  <c r="J49" i="2"/>
  <c r="J50" i="2"/>
  <c r="J51" i="2"/>
  <c r="J52" i="2"/>
  <c r="J38" i="2"/>
  <c r="B53" i="2"/>
  <c r="B69" i="2"/>
  <c r="B85" i="2"/>
  <c r="B101" i="2"/>
  <c r="B119" i="2"/>
  <c r="B121" i="2"/>
  <c r="B122" i="2"/>
  <c r="B123" i="2"/>
  <c r="B124" i="2"/>
  <c r="B125" i="2"/>
  <c r="B126" i="2"/>
  <c r="B127" i="2"/>
  <c r="B128" i="2"/>
  <c r="B129" i="2"/>
  <c r="B118" i="2"/>
  <c r="B134" i="2"/>
  <c r="B120" i="2"/>
  <c r="H142" i="2"/>
  <c r="G142" i="2"/>
  <c r="I142" i="2"/>
  <c r="B100" i="2"/>
  <c r="B99" i="2"/>
  <c r="B87" i="2"/>
  <c r="B88" i="2"/>
  <c r="B89" i="2"/>
  <c r="B90" i="2"/>
  <c r="B91" i="2"/>
  <c r="B92" i="2"/>
  <c r="B93" i="2"/>
  <c r="B94" i="2"/>
  <c r="B95" i="2"/>
  <c r="B96" i="2"/>
  <c r="B97" i="2"/>
  <c r="B98" i="2"/>
  <c r="B86" i="2"/>
  <c r="B71" i="2"/>
  <c r="B72" i="2"/>
  <c r="B73" i="2"/>
  <c r="B74" i="2"/>
  <c r="B75" i="2"/>
  <c r="B76" i="2"/>
  <c r="B77" i="2"/>
  <c r="B78" i="2"/>
  <c r="B79" i="2"/>
  <c r="B80" i="2"/>
  <c r="B81" i="2"/>
  <c r="B82" i="2"/>
  <c r="B83" i="2"/>
  <c r="B84" i="2"/>
  <c r="B70" i="2"/>
  <c r="B64" i="2"/>
  <c r="B65" i="2"/>
  <c r="B66" i="2"/>
  <c r="B67" i="2"/>
  <c r="B68" i="2"/>
  <c r="B55" i="2"/>
  <c r="B56" i="2"/>
  <c r="B57" i="2"/>
  <c r="B58" i="2"/>
  <c r="B59" i="2"/>
  <c r="B60" i="2"/>
  <c r="B61" i="2"/>
  <c r="B62" i="2"/>
  <c r="B63" i="2"/>
  <c r="B54" i="2"/>
  <c r="B39" i="2"/>
  <c r="B40" i="2"/>
  <c r="B41" i="2"/>
  <c r="B42" i="2"/>
  <c r="B43" i="2"/>
  <c r="B44" i="2"/>
  <c r="B45" i="2"/>
  <c r="B46" i="2"/>
  <c r="B47" i="2"/>
  <c r="B48" i="2"/>
  <c r="B49" i="2"/>
  <c r="B50" i="2"/>
  <c r="B51" i="2"/>
  <c r="B52" i="2"/>
  <c r="B38" i="2"/>
  <c r="C21" i="6"/>
  <c r="D18" i="6"/>
  <c r="C18" i="6"/>
  <c r="B18" i="6"/>
  <c r="D5" i="7"/>
  <c r="D4" i="7"/>
  <c r="D21" i="6"/>
  <c r="T32" i="6"/>
  <c r="W32" i="6"/>
  <c r="W31" i="6"/>
  <c r="W30" i="6"/>
  <c r="W28" i="6"/>
  <c r="W29" i="6"/>
  <c r="B24" i="2"/>
  <c r="B25" i="2"/>
  <c r="B26" i="2"/>
  <c r="B27" i="2"/>
  <c r="B28" i="2"/>
  <c r="B29" i="2"/>
  <c r="B30" i="2"/>
  <c r="B31" i="2"/>
  <c r="B32" i="2"/>
  <c r="B33" i="2"/>
  <c r="B34" i="2"/>
  <c r="B35" i="2"/>
  <c r="B36" i="2"/>
  <c r="B37" i="2"/>
  <c r="B102" i="2"/>
  <c r="B103" i="2"/>
  <c r="B104" i="2"/>
  <c r="B105" i="2"/>
  <c r="B106" i="2"/>
  <c r="B107" i="2"/>
  <c r="B108" i="2"/>
  <c r="B109" i="2"/>
  <c r="B110" i="2"/>
  <c r="B111" i="2"/>
  <c r="B112" i="2"/>
  <c r="B113" i="2"/>
  <c r="B114" i="2"/>
  <c r="B115" i="2"/>
  <c r="B116" i="2"/>
  <c r="B117" i="2"/>
  <c r="H143" i="2"/>
  <c r="H151" i="2"/>
  <c r="H154" i="2"/>
  <c r="H152" i="2"/>
  <c r="G145" i="2"/>
  <c r="I145" i="2"/>
  <c r="G153" i="2"/>
  <c r="I153" i="2"/>
  <c r="H145" i="2"/>
  <c r="G144" i="2"/>
  <c r="I144" i="2"/>
  <c r="H144" i="2"/>
  <c r="H153" i="2"/>
  <c r="G143" i="2"/>
  <c r="I143" i="2"/>
  <c r="A48" i="9"/>
  <c r="A49" i="9"/>
  <c r="A50" i="9"/>
  <c r="A51" i="9"/>
  <c r="A52" i="9"/>
  <c r="A53" i="9"/>
  <c r="A54" i="9"/>
  <c r="A55" i="9"/>
  <c r="A56" i="9"/>
  <c r="A57" i="9"/>
  <c r="A58" i="9"/>
  <c r="A59" i="9"/>
  <c r="A60" i="9"/>
  <c r="A61" i="9"/>
  <c r="A47" i="9"/>
  <c r="A41" i="9"/>
  <c r="A40" i="9"/>
  <c r="A39" i="9"/>
  <c r="A38" i="9"/>
  <c r="A37" i="9"/>
  <c r="A36" i="9"/>
  <c r="A35" i="9"/>
  <c r="A34" i="9"/>
  <c r="A33" i="9"/>
  <c r="A32" i="9"/>
  <c r="A31" i="9"/>
  <c r="A30" i="9"/>
  <c r="A29" i="9"/>
  <c r="A28" i="9"/>
  <c r="A27" i="9"/>
  <c r="K46" i="9"/>
  <c r="M46" i="9"/>
  <c r="K45" i="9"/>
  <c r="M45" i="9"/>
  <c r="K44" i="9"/>
  <c r="M44" i="9"/>
  <c r="K41" i="9"/>
  <c r="M41" i="9"/>
  <c r="K39" i="9"/>
  <c r="M39" i="9"/>
  <c r="K38" i="9"/>
  <c r="M38" i="9"/>
  <c r="K36" i="9"/>
  <c r="B48" i="9"/>
  <c r="B56" i="9"/>
  <c r="B50" i="9"/>
  <c r="B51" i="9"/>
  <c r="B60" i="9"/>
  <c r="B55" i="9"/>
  <c r="B49" i="9"/>
  <c r="B57" i="9"/>
  <c r="B58" i="9"/>
  <c r="B59" i="9"/>
  <c r="B52" i="9"/>
  <c r="B53" i="9"/>
  <c r="B61" i="9"/>
  <c r="B54" i="9"/>
  <c r="B47" i="9"/>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B136" i="2"/>
  <c r="B132" i="2"/>
  <c r="B131" i="2"/>
  <c r="B130" i="2"/>
  <c r="B23" i="2"/>
  <c r="G11" i="2"/>
  <c r="N5" i="2"/>
  <c r="D4" i="1"/>
  <c r="D3" i="1"/>
  <c r="C26" i="1"/>
  <c r="D75" i="9"/>
  <c r="B123" i="9"/>
  <c r="B140" i="9"/>
  <c r="D77" i="9"/>
  <c r="B122" i="9"/>
  <c r="B139" i="9"/>
  <c r="D76" i="9"/>
  <c r="B124" i="9"/>
  <c r="B141" i="9"/>
  <c r="B134" i="9"/>
  <c r="D71" i="9"/>
  <c r="B111" i="9"/>
  <c r="B128" i="9"/>
  <c r="D65" i="9"/>
  <c r="B119" i="9"/>
  <c r="B136" i="9"/>
  <c r="D73" i="9"/>
  <c r="B127" i="9"/>
  <c r="D64" i="9"/>
  <c r="B113" i="9"/>
  <c r="B130" i="9"/>
  <c r="D67" i="9"/>
  <c r="B120" i="9"/>
  <c r="B137" i="9"/>
  <c r="B121" i="9"/>
  <c r="B138" i="9"/>
  <c r="B114" i="9"/>
  <c r="B131" i="9"/>
  <c r="D68" i="9"/>
  <c r="B129" i="9"/>
  <c r="D66" i="9"/>
  <c r="B115" i="9"/>
  <c r="B132" i="9"/>
  <c r="D69" i="9"/>
  <c r="B116" i="9"/>
  <c r="B133" i="9"/>
  <c r="D70" i="9"/>
  <c r="B118" i="9"/>
  <c r="B135" i="9"/>
  <c r="D72" i="9"/>
  <c r="G154" i="2"/>
  <c r="I154" i="2"/>
  <c r="D74" i="9"/>
  <c r="D78" i="9"/>
  <c r="G151" i="2"/>
  <c r="I151" i="2"/>
  <c r="G152" i="2"/>
  <c r="I152" i="2"/>
</calcChain>
</file>

<file path=xl/sharedStrings.xml><?xml version="1.0" encoding="utf-8"?>
<sst xmlns="http://schemas.openxmlformats.org/spreadsheetml/2006/main" count="1106" uniqueCount="539">
  <si>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</si>
  <si>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</si>
  <si>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</si>
  <si>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</si>
  <si>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</si>
  <si>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</si>
  <si>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</si>
  <si>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</si>
  <si>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</si>
  <si>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</si>
  <si>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</si>
  <si>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</si>
  <si>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</si>
  <si>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</si>
  <si>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</si>
  <si>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</si>
  <si>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</si>
  <si>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</si>
  <si>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</si>
  <si>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</si>
  <si>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</si>
  <si>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</si>
  <si>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</si>
  <si>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</si>
  <si>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</si>
  <si>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</si>
  <si>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</si>
  <si>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</si>
  <si>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</si>
  <si>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</si>
  <si>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</si>
  <si>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</si>
  <si>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</si>
  <si>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</si>
  <si>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</si>
  <si>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</si>
  <si>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</si>
  <si>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</si>
  <si>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</si>
  <si>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</si>
  <si>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</si>
  <si>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</si>
  <si>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</si>
  <si>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</si>
  <si>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</si>
  <si>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</si>
  <si>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</si>
  <si>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</si>
  <si>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</si>
  <si>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</si>
  <si>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</si>
  <si>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</si>
  <si>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</si>
  <si>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</si>
  <si>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</si>
  <si>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</si>
  <si>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</si>
  <si>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</si>
  <si>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</si>
  <si>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</si>
  <si>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</si>
  <si>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</si>
  <si>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</si>
  <si>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</si>
  <si>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</si>
  <si>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</si>
  <si>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</si>
  <si>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</si>
  <si>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</si>
  <si>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</si>
  <si>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</si>
  <si>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</si>
  <si>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</si>
  <si>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</si>
  <si>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</si>
  <si>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</si>
  <si>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</si>
  <si>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</si>
  <si>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</si>
  <si>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</si>
  <si>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</si>
  <si>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</si>
  <si>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</si>
  <si>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</si>
  <si>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</si>
  <si>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</si>
  <si>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</si>
  <si>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</si>
  <si>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</si>
  <si>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</si>
  <si>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</si>
  <si>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</si>
  <si>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</si>
  <si>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</si>
  <si>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</si>
  <si>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</si>
  <si>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</si>
  <si>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</si>
  <si>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</si>
  <si>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</si>
  <si>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</si>
  <si>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</si>
  <si>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</si>
  <si>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</si>
  <si>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</si>
  <si>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</si>
  <si>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</si>
  <si>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</si>
  <si>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</si>
  <si>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</si>
  <si>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</si>
  <si>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</si>
  <si>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</si>
  <si>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</si>
  <si>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</si>
  <si>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</si>
  <si>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</si>
  <si>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</si>
  <si>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</si>
  <si>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</si>
  <si>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</si>
  <si>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</si>
  <si>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</si>
  <si>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</si>
  <si>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</si>
  <si>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</si>
  <si>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</si>
  <si>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</si>
  <si>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</si>
  <si>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</si>
  <si>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</si>
  <si>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</si>
  <si>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</si>
  <si>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</si>
  <si>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</si>
  <si>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</si>
  <si>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</si>
  <si>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</si>
  <si>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</si>
  <si>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</si>
  <si>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</si>
  <si>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</si>
  <si>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</si>
  <si>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</si>
  <si>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</si>
  <si>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</si>
  <si>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</si>
  <si>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</si>
  <si>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</si>
  <si>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</si>
  <si>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</si>
  <si>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</si>
  <si>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</si>
  <si>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</si>
  <si>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</si>
  <si>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</si>
  <si>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</si>
  <si>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</si>
  <si>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</si>
  <si>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</si>
  <si>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</si>
  <si>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</si>
  <si>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</si>
  <si>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</si>
  <si>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</si>
  <si>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</si>
  <si>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</si>
  <si>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</si>
  <si>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</si>
  <si>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</si>
  <si>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</si>
  <si>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</si>
  <si>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</si>
  <si>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</si>
  <si>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</si>
  <si>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</si>
  <si>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</si>
  <si>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</si>
  <si>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</si>
  <si>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</si>
  <si>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</si>
  <si>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</si>
  <si>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</si>
  <si>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</si>
  <si>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</si>
  <si>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</si>
  <si>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</si>
  <si>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</si>
  <si>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</si>
  <si>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</si>
  <si>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</si>
  <si>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</si>
  <si>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</si>
  <si>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</si>
  <si>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</si>
  <si>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</si>
  <si>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</si>
  <si>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</si>
  <si>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</si>
  <si>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</si>
  <si>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</si>
  <si>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</si>
  <si>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</si>
  <si>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</si>
  <si>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</si>
  <si>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</si>
  <si>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</si>
  <si>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</si>
  <si>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</si>
  <si>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</si>
  <si>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</si>
  <si>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</si>
  <si>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</si>
  <si>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</si>
  <si>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</si>
  <si>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</si>
  <si>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</si>
  <si>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</si>
  <si>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</si>
  <si>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</si>
  <si>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</si>
  <si>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</si>
  <si>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</si>
  <si>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</si>
  <si>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</si>
  <si>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</si>
  <si>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</si>
  <si>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</si>
  <si>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</si>
  <si>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</si>
  <si>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</si>
  <si>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</si>
  <si>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</si>
  <si>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</si>
  <si>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</si>
  <si>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Rare earth oxide formation</t>
  </si>
  <si>
    <t>Precipitation of rare earth oxylates from aqueous rare earth chlorides and subsequent calcination to form rare earth oxides</t>
  </si>
  <si>
    <t>rare earth oxide</t>
  </si>
  <si>
    <t>Moles of rare earth in oxide</t>
  </si>
  <si>
    <t>Moles of oxygen in oxide</t>
  </si>
  <si>
    <t>CeO₂</t>
  </si>
  <si>
    <t>g/mol</t>
  </si>
  <si>
    <t>Carbon</t>
  </si>
  <si>
    <t>La₂O₃</t>
  </si>
  <si>
    <t>Oxygen</t>
  </si>
  <si>
    <t>Pr₆O₁₁</t>
  </si>
  <si>
    <t>Fluorine</t>
  </si>
  <si>
    <t>Nd₂O₃</t>
  </si>
  <si>
    <t>Sodium</t>
  </si>
  <si>
    <t>Sm₂O₃</t>
  </si>
  <si>
    <t>Hydrogen</t>
  </si>
  <si>
    <t>Eu₂O₃</t>
  </si>
  <si>
    <t>Chloride</t>
  </si>
  <si>
    <t>Gd₂O₃</t>
  </si>
  <si>
    <t>Nitrogen</t>
  </si>
  <si>
    <t>Tb₄O₇</t>
  </si>
  <si>
    <t>Calcium</t>
  </si>
  <si>
    <t>Dy₂O₃</t>
  </si>
  <si>
    <t>FO</t>
  </si>
  <si>
    <t>Ho₂O₃</t>
  </si>
  <si>
    <t>F3</t>
  </si>
  <si>
    <t>Er₂O₃</t>
  </si>
  <si>
    <t>Ce</t>
  </si>
  <si>
    <t>Tm₂O₃</t>
  </si>
  <si>
    <t>La</t>
  </si>
  <si>
    <t>Yb₂O₃</t>
  </si>
  <si>
    <t>Pr</t>
  </si>
  <si>
    <t>Lu₂O₃</t>
  </si>
  <si>
    <t>Nd</t>
  </si>
  <si>
    <t>Y₂O₃</t>
  </si>
  <si>
    <t>Sm</t>
  </si>
  <si>
    <t>Eu</t>
  </si>
  <si>
    <t>Gd</t>
  </si>
  <si>
    <t>Tb</t>
  </si>
  <si>
    <t>mol</t>
  </si>
  <si>
    <t>Dy</t>
  </si>
  <si>
    <t>Ho</t>
  </si>
  <si>
    <t>Er</t>
  </si>
  <si>
    <t>Tm</t>
  </si>
  <si>
    <t>Yb</t>
  </si>
  <si>
    <t>Lu</t>
  </si>
  <si>
    <t>Y</t>
  </si>
  <si>
    <t>Sulfur</t>
  </si>
  <si>
    <t>Phosphorous</t>
  </si>
  <si>
    <t>FCO3</t>
  </si>
  <si>
    <t>H2SO4 MW</t>
  </si>
  <si>
    <t>kg/mol</t>
  </si>
  <si>
    <t>NaOH MW</t>
  </si>
  <si>
    <t>molar mass</t>
  </si>
  <si>
    <t>CO2 MW</t>
  </si>
  <si>
    <t>CeCl₃</t>
  </si>
  <si>
    <t>LaCl₃</t>
  </si>
  <si>
    <t>HCl MW</t>
  </si>
  <si>
    <t>PrCl₃</t>
  </si>
  <si>
    <t>H2O MW</t>
  </si>
  <si>
    <t>NdCl₃</t>
  </si>
  <si>
    <t>H3PO4</t>
  </si>
  <si>
    <t>SmCl₃</t>
  </si>
  <si>
    <t>Na3PO4</t>
  </si>
  <si>
    <t>EuCl₃</t>
  </si>
  <si>
    <t>HF MW</t>
  </si>
  <si>
    <t>GdCl₃</t>
  </si>
  <si>
    <t>TbCl₃</t>
  </si>
  <si>
    <t>DyCl₃</t>
  </si>
  <si>
    <t>HoCl₃</t>
  </si>
  <si>
    <t>ErCl₃</t>
  </si>
  <si>
    <t>TmCl₃</t>
  </si>
  <si>
    <t>YbCl₃</t>
  </si>
  <si>
    <t>LuCl₃</t>
  </si>
  <si>
    <t>YCl₃</t>
  </si>
  <si>
    <t>Chloride oxalate reaction</t>
  </si>
  <si>
    <r>
      <t>2RECl₃∙6H₂O + 3H</t>
    </r>
    <r>
      <rPr>
        <sz val="11"/>
        <color theme="1"/>
        <rFont val="Calibri"/>
        <family val="2"/>
      </rPr>
      <t>₂C₂O₄ + 4H₂O = RE₂(C₂O₄)₃∙10H₂O + 6HCl</t>
    </r>
  </si>
  <si>
    <t>moles of chloride per kg of input</t>
  </si>
  <si>
    <t>CO2</t>
  </si>
  <si>
    <t>Std</t>
  </si>
  <si>
    <t>CO</t>
  </si>
  <si>
    <t>H2O</t>
  </si>
  <si>
    <t>In</t>
  </si>
  <si>
    <t>Out</t>
  </si>
  <si>
    <t>Moles oxalate</t>
  </si>
  <si>
    <t>Moles REO</t>
  </si>
  <si>
    <t>Moles CO2</t>
  </si>
  <si>
    <t>Moles CO</t>
  </si>
  <si>
    <t>Moles H2O</t>
  </si>
  <si>
    <t>mol/kg chloride hexahdyrate in</t>
  </si>
  <si>
    <t>Mass oxalate in</t>
  </si>
  <si>
    <t>Mass REO out</t>
  </si>
  <si>
    <t>Mass CO2</t>
  </si>
  <si>
    <t>Mass CO</t>
  </si>
  <si>
    <t>Mass H2O</t>
  </si>
  <si>
    <t>kg/kg chloride hexahydrate in</t>
  </si>
  <si>
    <t>Moles oxalic acid</t>
  </si>
  <si>
    <t>Mass of oxalic acid</t>
  </si>
  <si>
    <t>H2C2O4 MW</t>
  </si>
  <si>
    <t>kg/kg RECl3 in</t>
  </si>
  <si>
    <t>Moles HCl</t>
  </si>
  <si>
    <t>Mass HCl</t>
  </si>
  <si>
    <t>Moles of RE oxalate</t>
  </si>
  <si>
    <t>mass of RE oxalate per kg of input</t>
  </si>
  <si>
    <t>Rare earth oxalate calcine reaction</t>
  </si>
  <si>
    <t>rare earth chloride hexahydrate</t>
  </si>
  <si>
    <t>Carbon dioxide [Inorganic emissions to air]</t>
  </si>
  <si>
    <t>Hydrochloric acid waste</t>
  </si>
  <si>
    <t>Oxalate calcine temperature</t>
  </si>
  <si>
    <t>C</t>
  </si>
  <si>
    <t xml:space="preserve">Heat up </t>
  </si>
  <si>
    <t>hrs</t>
  </si>
  <si>
    <t>Held</t>
  </si>
  <si>
    <t>hr</t>
  </si>
  <si>
    <t>Laws and Models: Science, Engineering, and Technology</t>
  </si>
  <si>
    <t>Hall, C. W.</t>
  </si>
  <si>
    <t>2000</t>
  </si>
  <si>
    <t>Boca Raton, FL</t>
  </si>
  <si>
    <t>CRC Press</t>
  </si>
  <si>
    <t>Hall, C.W. (2000). Laws and Models: Science, Engineering, and Technology. Boca Raton, FL: CRC Press.</t>
  </si>
  <si>
    <t>Specific heat of element</t>
  </si>
  <si>
    <t>Reference</t>
  </si>
  <si>
    <t>Mass of element in bastnaesite</t>
  </si>
  <si>
    <t>Weighted specific heat</t>
  </si>
  <si>
    <t>Molar heat capacity</t>
  </si>
  <si>
    <t>kJ/mol-K</t>
  </si>
  <si>
    <t>http://encyclopedia.airliquide.com/Encyclopedia.asp?GasID=137</t>
  </si>
  <si>
    <t>Cerium cp</t>
  </si>
  <si>
    <t>J/(g K)</t>
  </si>
  <si>
    <t>J/g-K</t>
  </si>
  <si>
    <t>A</t>
  </si>
  <si>
    <t>B</t>
  </si>
  <si>
    <t>D</t>
  </si>
  <si>
    <t>E</t>
  </si>
  <si>
    <t>temp</t>
  </si>
  <si>
    <t>K</t>
  </si>
  <si>
    <t>cp</t>
  </si>
  <si>
    <t>J/mol-K</t>
  </si>
  <si>
    <t>Thermophysical Properties of Fluid Systems. National Institute of Standards and Technology</t>
  </si>
  <si>
    <t>Lemmon, E. W., Linden, M. O., &amp; Friend, D. G.</t>
  </si>
  <si>
    <t>n.d.</t>
  </si>
  <si>
    <t>September 18, 2012</t>
  </si>
  <si>
    <t>Lemmon, E. W., Linden, M. O., &amp; Friend, D. G. (n. d.). Thermophysical Properties of Fluid Systems. National Institute of Standards and Technology Retrieved September 18, 2012, from http://webbook.nist.gov</t>
  </si>
  <si>
    <t>2.3.6 Specific heat capacities</t>
  </si>
  <si>
    <t>NPL</t>
  </si>
  <si>
    <t>1995</t>
  </si>
  <si>
    <t>National Physical Laboratory</t>
  </si>
  <si>
    <t>http://www.kayelaby.npl.co.uk/general_physics/2_3/2_3_6.html</t>
  </si>
  <si>
    <t>NPL (1995). 2.3.6 Specific heat capacities. National Physical Laboratory. Retrieved 4/21/14 from http://www.kayelaby.npl.co.uk/general_physics/2_3/2_3_6.html</t>
  </si>
  <si>
    <t>Ce₂(C₂O₄)₃∙10H₂O</t>
  </si>
  <si>
    <r>
      <t>O4 = 2O</t>
    </r>
    <r>
      <rPr>
        <sz val="10"/>
        <color theme="1"/>
        <rFont val="Calibri"/>
        <family val="2"/>
      </rPr>
      <t>₂</t>
    </r>
  </si>
  <si>
    <t>Estimated specific heat for &gt;500K</t>
  </si>
  <si>
    <t>10H2O 500-1273K</t>
  </si>
  <si>
    <t>10H2O 293-500K</t>
  </si>
  <si>
    <t>Enthalpy liquid at 1 atm</t>
  </si>
  <si>
    <t>kJ/mol</t>
  </si>
  <si>
    <t>Enthalpy steam at 1 atm</t>
  </si>
  <si>
    <t>Estimated specific heat for &lt;500K</t>
  </si>
  <si>
    <t>Heat from 293-500</t>
  </si>
  <si>
    <t>J/g or kJ/kg</t>
  </si>
  <si>
    <t>Heat of vaporization</t>
  </si>
  <si>
    <t>kJ/g</t>
  </si>
  <si>
    <t>kJ/kg</t>
  </si>
  <si>
    <t>Total energy to 500K</t>
  </si>
  <si>
    <t>Energy to 1273K</t>
  </si>
  <si>
    <t>Total energy to 1273 K (1000C)</t>
  </si>
  <si>
    <t>Total energy to 1173 K (900C)</t>
  </si>
  <si>
    <t>Energy to 1173K</t>
  </si>
  <si>
    <t>Low temp. insulating firebrick</t>
  </si>
  <si>
    <t>Btu/hr-ft-F</t>
  </si>
  <si>
    <t>J/hr-m-K</t>
  </si>
  <si>
    <t>Assumed thickness</t>
  </si>
  <si>
    <t>inch</t>
  </si>
  <si>
    <t>m</t>
  </si>
  <si>
    <t>Q/deltaT = k/L</t>
  </si>
  <si>
    <t>Q = k/L * deltaT</t>
  </si>
  <si>
    <t>k/L or U</t>
  </si>
  <si>
    <t>J/hr-m^2-K</t>
  </si>
  <si>
    <t>oxalic acid</t>
  </si>
  <si>
    <t>oxalic_acid</t>
  </si>
  <si>
    <t>Hcl_acid</t>
  </si>
  <si>
    <t>H2O_in</t>
  </si>
  <si>
    <t>Ce_oxalic_acid*Ce_out+La_oxalic_acid*La_out+Pr_oxalic_acid*Pr_out+Nd_oxalic_acid*Nd_out+Sm_oxalic_acid*Sm_out+Eu_oxalic_acid*Eu_out+Gd_oxalic_acid*Gd_out+Tb_oxalic_acid*Tb_out+Dy_oxalic_acid*Dy_out+Ho_oxalic_acid*Ho_out+Er_oxalic_acid*Er_out+Tm_oxalic_acid*Tm_out+Yb_oxalic_acid*Yb_out+Lu_oxalic_acid*Lu_out+Y_oxalic_acid*Y_out</t>
  </si>
  <si>
    <t>Ce_HCl_acid*Ce_out+La_HCl_acid*La_out+Pr_HCl_acid*Pr_out+Nd_HCl_acid*Nd_out+Sm_HCl_acid*Sm_out+Eu_HCl_acid*Eu_out+Gd_HCl_acid*Gd_out+Tb_HCl_acid*Tb_out+Dy_HCl_acid*Dy_out+Ho_HCl_acid*Ho_out+Er_HCl_acid*Er_out+Tm_HCl_acid*Tm_out+Yb_HCl_acid*Yb_out+Lu_HCl_acid*Lu_out+Y_HCl_acid*Y_out</t>
  </si>
  <si>
    <t>Ce_H2O_in*Ce_out+La_H2O_in*La_out+Pr_H2O_in*Pr_out+Nd_H2O_in*Nd_out+Sm_H2O_in*Sm_out+Eu_H2O_in*Eu_out+Gd_H2O_in*Gd_out+Tb_H2O_in*Tb_out+Dy_H2O_in*Dy_out+Ho_H2O_in*Ho_out+Er_H2O_in*Er_out+Tm_H2O_in*Tm_out+Yb_H2O_in*Yb_out+Lu_H2O_in*Lu_out+Y_H2O_in*Y_out</t>
  </si>
  <si>
    <t>Ce_CO2*Ce_out+La_CO2*La_out+Pr_CO2*Pr_out+Nd_CO2*Nd_out+Sm_CO2*Sm_out+Eu_CO2*Eu_out+Gd_CO2*Gd_out+Tb_CO2*Tb_out+Dy_CO2*Dy_out+Ho_CO2*Ho_out+Er_CO2*Er_out+Tm_CO2*Tm_out+Yb_CO2*Yb_out+Lu_CO2*Lu_out+Y_CO2*Y_out</t>
  </si>
  <si>
    <t>Ce_h2o_out*Ce_out+La_h2o_out*La_out+Pr_h2o_out*Pr_out+Nd_h2o_out*Nd_out+Sm_h2o_out*Sm_out+Eu_h2o_out*Eu_out+Gd_h2o_out*Gd_out+Tb_h2o_out*Tb_out+Dy_h2o_out*Dy_out+Ho_h2o_out*Ho_out+Er_h2o_out*Er_out+Tm_h2o_out*Tm_out+Yb_h2o_out*Yb_out+Lu_h2o_out*Lu_out+Y_h2o_out*Y_out</t>
  </si>
  <si>
    <t>h2o_out</t>
  </si>
  <si>
    <t>water</t>
  </si>
  <si>
    <t>h2o_in</t>
  </si>
  <si>
    <t>HCl_acid</t>
  </si>
  <si>
    <t>kg/kg</t>
  </si>
  <si>
    <t>Water</t>
  </si>
  <si>
    <t>Reference flow</t>
  </si>
  <si>
    <t>REO_out</t>
  </si>
  <si>
    <t>recovery_rate</t>
  </si>
  <si>
    <t>(Ce_m_out*Ce_out+La_m_out*La_out+Pr_m_out*Pr_out+Nd_m_out*Nd_out+Sm_m_out*Sm_out+Eu_m_out*Eu_out+Gd_m_out*Gd_out+Tb_m_out*Tb_out+Dy_m_out*Dy_out+Ho_m_out*Ho_out+Er_m_out*Er_out+Tm_m_out*Tm_out+Yb_m_out*Yb_out+Lu_m_out*Lu_out+Y_m_out*Y_out)*recovery_rate</t>
  </si>
  <si>
    <t>[binary] Parameter to select cerium metal as the output</t>
  </si>
  <si>
    <t>[binary] Parameter to select lanthanum metal as the output</t>
  </si>
  <si>
    <t>[binary] Parameter to select praseodymium metal as the output</t>
  </si>
  <si>
    <t>[binary] Parameter to select neodymium metal as the output</t>
  </si>
  <si>
    <t>[binary] Parameter to select samarium metal as the output</t>
  </si>
  <si>
    <t>[binary] Parameter to select europium metal as the output</t>
  </si>
  <si>
    <t>[binary] Parameter to select gadolinium metal as the output</t>
  </si>
  <si>
    <t>[binary] Parameter to select terbium metal as the output</t>
  </si>
  <si>
    <t>[binary] Parameter to select dysprosium metal as the output</t>
  </si>
  <si>
    <t>[binary] Parameter to select holmium metal as the output</t>
  </si>
  <si>
    <t>[binary] Parameter to select erbium metal as the output</t>
  </si>
  <si>
    <t>[binary] Parameter to select thulium metal as the output</t>
  </si>
  <si>
    <t>[binary] Parameter to select ytterbium metal as the output</t>
  </si>
  <si>
    <t>[binary] Parameter to select lutetium metal as the output</t>
  </si>
  <si>
    <t>[binary] Parameter to select yttrium metal as the output</t>
  </si>
  <si>
    <t>kJ</t>
  </si>
  <si>
    <t>Energy lost for 900C</t>
  </si>
  <si>
    <t>Energy lost for 1000C</t>
  </si>
  <si>
    <t>Total energy used for heatup and maintenance (900C)</t>
  </si>
  <si>
    <t>Total energy used for heatup and maintenance (1000C)</t>
  </si>
  <si>
    <t>heat_reqd</t>
  </si>
  <si>
    <t>Assume that the reactor is a cube - 1m side length for a total of 6 m² surface area</t>
  </si>
  <si>
    <t>Assumption [1]</t>
  </si>
  <si>
    <t>heat</t>
  </si>
  <si>
    <t>[kg/kg] kg of REO produced per kg of rare earth concentrate</t>
  </si>
  <si>
    <t>[kg/kg] kg of oxalic acid to produce selected rare earth oxide per kg of rare earth chloride</t>
  </si>
  <si>
    <t>[kg/kg] kg of HCl acid produced from reaction with selected REO per kg of rare earth chloride</t>
  </si>
  <si>
    <t>[kg/kg] kg of CO2 produced per kg of rare earth chloride</t>
  </si>
  <si>
    <t>[kg/kg] kg of water demand per kg of rare earth chloride</t>
  </si>
  <si>
    <t>[kg/kg] kg of water produced per kg of rare earth chloride</t>
  </si>
  <si>
    <t>[kg/kg] kg of REO produced per kg of REO-equivalent in rare earth chloride</t>
  </si>
  <si>
    <t>[kJ/kg] kJ of heat required to calcine the rare earth oxalate to rare earth oxide</t>
  </si>
  <si>
    <t>This unit process provides a summary of relevant input and output flows associated with the conversion of rare earth chlorides into rare earth oxides. The process involves first converting the rare earth chlorides into rare earth oxalates using oxalic acid and then calcining the oxalate to convert those into rare earth oxides.</t>
  </si>
  <si>
    <t>N/A</t>
  </si>
  <si>
    <t>No</t>
  </si>
  <si>
    <t>Technosphere</t>
  </si>
  <si>
    <t>Resource</t>
  </si>
  <si>
    <t>Intermediate product</t>
  </si>
  <si>
    <t>Emissions to air</t>
  </si>
  <si>
    <t>Mixed waste</t>
  </si>
  <si>
    <r>
      <t>Ce₂(C₂O₄)₃∙10H₂O + 2O</t>
    </r>
    <r>
      <rPr>
        <sz val="11"/>
        <color theme="1"/>
        <rFont val="Calibri"/>
        <family val="2"/>
      </rPr>
      <t>₂</t>
    </r>
    <r>
      <rPr>
        <sz val="11"/>
        <color theme="1"/>
        <rFont val="Calibri"/>
        <family val="2"/>
        <scheme val="minor"/>
      </rPr>
      <t xml:space="preserve"> = 2CeO₂ + 6CO₂ + 10H₂O</t>
    </r>
  </si>
  <si>
    <r>
      <t>6Pr₂(C₂O₄)₃∙10H₂O + 11O2 = 2Pr</t>
    </r>
    <r>
      <rPr>
        <sz val="11"/>
        <color theme="1"/>
        <rFont val="Calibri"/>
        <family val="2"/>
      </rPr>
      <t>₆O₁₁ + 36CO₂ + 60H₂O</t>
    </r>
  </si>
  <si>
    <r>
      <t>4Tb₂(C₂O₄)₃∙10H₂O + 7O2 = 2Tb</t>
    </r>
    <r>
      <rPr>
        <sz val="11"/>
        <color theme="1"/>
        <rFont val="Calibri"/>
        <family val="2"/>
      </rPr>
      <t>₄O₇</t>
    </r>
    <r>
      <rPr>
        <sz val="11"/>
        <color theme="1"/>
        <rFont val="Calibri"/>
        <family val="2"/>
        <scheme val="minor"/>
      </rPr>
      <t xml:space="preserve"> + 24CO₂ + 40H₂O</t>
    </r>
  </si>
  <si>
    <t>Rare earths; the fraternal fifteen</t>
  </si>
  <si>
    <t>Gschneidner Jr., K.A.</t>
  </si>
  <si>
    <t>1964</t>
  </si>
  <si>
    <t>Washington, D.C.</t>
  </si>
  <si>
    <t>U.S. Atomic Energy Commission</t>
  </si>
  <si>
    <t>Gschneidner Jr., K.A. (1964). Rare earths; the fraternal fifteen. Washington, D.C.: U.S. Atomic Energy Commission.</t>
  </si>
  <si>
    <t>Reference [2]</t>
  </si>
  <si>
    <t>Equation was modified to include the water content.</t>
  </si>
  <si>
    <t>Equation for these rare earths was assumed to be the same as above with different stoichiometry</t>
  </si>
  <si>
    <t>Study on Rare Earths and Their Recycling</t>
  </si>
  <si>
    <t>Buchert, M., Liu, R., Dittrich, S., Merz, C.</t>
  </si>
  <si>
    <t>2011</t>
  </si>
  <si>
    <t>Schüler, D.</t>
  </si>
  <si>
    <t>Öko-Institute e.V.</t>
  </si>
  <si>
    <t>Freiburg, Germany</t>
  </si>
  <si>
    <r>
      <t>Reference [1] lists RECl</t>
    </r>
    <r>
      <rPr>
        <sz val="11"/>
        <color theme="1"/>
        <rFont val="Calibri"/>
        <family val="2"/>
        <scheme val="minor"/>
      </rPr>
      <t>₃ as an input to separation and RE₂(C₂O₄)₃ as the precipitate. The remainder of the equation is assumed.</t>
    </r>
  </si>
  <si>
    <t>[3]</t>
  </si>
  <si>
    <t>Kaneyoshi, M.</t>
  </si>
  <si>
    <t>Sakai, S.</t>
  </si>
  <si>
    <t>2002</t>
  </si>
  <si>
    <t>US Patent No. US6387339B1</t>
  </si>
  <si>
    <t>http://patft.uspto.gov/netacgi/nph-Parser?Sect2=PTO1&amp;Sect2=HITOFF&amp;p=1&amp;u=/netahtml/PTO/search-bool.html&amp;r=1&amp;f=G&amp;l=50&amp;d=PALL&amp;RefSrch=yes&amp;Query=PN/6387339</t>
  </si>
  <si>
    <t>U.S. Patent Office</t>
  </si>
  <si>
    <t>Kaneyoshi, M. and Sakai, S. (2002). US Patent No. US6387339B1. Washington, D.C.: U.S. Patent Office.</t>
  </si>
  <si>
    <t>[4]</t>
  </si>
  <si>
    <t>Smith, P. M. (2007). High-Purity Rare Earth Oxides Produced via Precipitation Stripping. Metallurgical and Materials Transactions B, 38B.</t>
  </si>
  <si>
    <t>Smith, P.M.</t>
  </si>
  <si>
    <r>
      <t xml:space="preserve">High-Purity Rare Earth Oxides Produced via Precipitation Stripping. </t>
    </r>
    <r>
      <rPr>
        <i/>
        <sz val="10"/>
        <rFont val="Arial"/>
        <family val="2"/>
      </rPr>
      <t>Metallurical and Materials Transactions B, 38B.</t>
    </r>
  </si>
  <si>
    <t>2007</t>
  </si>
  <si>
    <t>Metallurgical and Materials Transactions B.</t>
  </si>
  <si>
    <t>38B</t>
  </si>
  <si>
    <t>[5]</t>
  </si>
  <si>
    <t>Reference [5]</t>
  </si>
  <si>
    <t>Specific Heat of RE oxalates - calculated for cerium according to Kopp's Law - Reference [6]</t>
  </si>
  <si>
    <t>[7] @ 373K</t>
  </si>
  <si>
    <t>[7] (@ 373K</t>
  </si>
  <si>
    <t>1,2</t>
  </si>
  <si>
    <t>3,4,5,6,7</t>
  </si>
  <si>
    <t>oxalic acid, hcl acid, water in</t>
  </si>
  <si>
    <t>REO out, CO2, CO, water out</t>
  </si>
  <si>
    <t>This unit process is composed of this document and the file, DF_Stage1_O_Rare_earth_oxide_formation_2014.01.docx, which provides additional details regarding calculations, data quality, and references as relevant.</t>
  </si>
  <si>
    <t>Schüler, D. et al. (2011). Study on Rare Earths and Their Recycling. Freiburg, Germany: Öko-Institute e.V.</t>
  </si>
  <si>
    <r>
      <t>2RE₂(C₂O₄)₃∙10H₂O + 3O</t>
    </r>
    <r>
      <rPr>
        <sz val="11"/>
        <color theme="1"/>
        <rFont val="Calibri"/>
        <family val="2"/>
      </rPr>
      <t>₂</t>
    </r>
    <r>
      <rPr>
        <sz val="11"/>
        <color theme="1"/>
        <rFont val="Calibri"/>
        <family val="2"/>
        <scheme val="minor"/>
      </rPr>
      <t xml:space="preserve"> = 2RE</t>
    </r>
    <r>
      <rPr>
        <sz val="11"/>
        <color theme="1"/>
        <rFont val="Calibri"/>
        <family val="2"/>
      </rPr>
      <t>₂O₃ + 12CO₂ + 20H₂O</t>
    </r>
  </si>
  <si>
    <t>Maximize System Efficiency with Proper Insulation</t>
  </si>
  <si>
    <t>DOE</t>
  </si>
  <si>
    <t>2009</t>
  </si>
  <si>
    <t>Department of Energy</t>
  </si>
  <si>
    <t>Energy Matters</t>
  </si>
  <si>
    <t>Winter 2009</t>
  </si>
  <si>
    <t>http://www1.eere.energy.gov/manufacturing/tech_assistance/winter2009.html</t>
  </si>
  <si>
    <r>
      <t xml:space="preserve">DOE (2009). Maximize System Efficiency with Proper Insulation. </t>
    </r>
    <r>
      <rPr>
        <i/>
        <sz val="10"/>
        <rFont val="Arial"/>
        <family val="2"/>
      </rPr>
      <t xml:space="preserve">Energy Matters, Winter 2009. </t>
    </r>
    <r>
      <rPr>
        <sz val="10"/>
        <rFont val="Arial"/>
        <family val="2"/>
      </rPr>
      <t>Retrieved 3/3/2014 from http://www1.eere.energy.gov/manufacturing/tech_assistance/winter2009.html</t>
    </r>
  </si>
  <si>
    <t>[8]</t>
  </si>
  <si>
    <t>material_input_output</t>
  </si>
  <si>
    <t>Stoichiometric calculations for material requirements</t>
  </si>
  <si>
    <t>energy</t>
  </si>
  <si>
    <t>Heat input estimate calculations</t>
  </si>
  <si>
    <t>binary</t>
  </si>
  <si>
    <t>g</t>
  </si>
  <si>
    <t>J</t>
  </si>
  <si>
    <t>Starting temperature</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</si>
  <si>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rare earth chloride hexahydrate</t>
    </r>
    <r>
      <rPr>
        <sz val="10"/>
        <color indexed="8"/>
        <rFont val="Arial"/>
        <family val="2"/>
      </rPr>
      <t>)</t>
    </r>
  </si>
  <si>
    <t>Assume all produced water from reaction is captured - this is somewhat location based as the Mountain Pass facility is expected to recylce as much water as possible. Alternatively, this water can simply be modeled as a water vapor emission to air.</t>
  </si>
  <si>
    <t>Assumption [2]</t>
  </si>
  <si>
    <t>Resrouce [See assumption 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</si>
</sst>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s>
  <fonts count="56"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name val="Calibri"/>
      <family val="2"/>
      <scheme val="minor"/>
    </font>
    <font>
      <b/>
      <sz val="11"/>
      <name val="Calibri"/>
      <family val="2"/>
      <scheme val="minor"/>
    </font>
    <font>
      <sz val="11"/>
      <color theme="1"/>
      <name val="Calibri"/>
      <family val="2"/>
    </font>
    <font>
      <sz val="10"/>
      <color theme="1"/>
      <name val="Calibri"/>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3" borderId="0" applyNumberFormat="0" applyBorder="0" applyAlignment="0" applyProtection="0"/>
    <xf numFmtId="0" fontId="34" fillId="17" borderId="0" applyNumberFormat="0" applyBorder="0" applyAlignment="0" applyProtection="0"/>
    <xf numFmtId="0" fontId="35" fillId="34" borderId="44" applyNumberFormat="0" applyAlignment="0" applyProtection="0"/>
    <xf numFmtId="0" fontId="36"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7" fillId="0" borderId="0" applyNumberFormat="0" applyFill="0" applyBorder="0" applyAlignment="0" applyProtection="0"/>
    <xf numFmtId="0" fontId="38" fillId="18" borderId="0" applyNumberFormat="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1" borderId="44" applyNumberFormat="0" applyAlignment="0" applyProtection="0"/>
    <xf numFmtId="0" fontId="44" fillId="0" borderId="49" applyNumberFormat="0" applyFill="0" applyAlignment="0" applyProtection="0"/>
    <xf numFmtId="0" fontId="45"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6"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8" fillId="0" borderId="0">
      <alignment horizontal="center" vertical="center"/>
    </xf>
    <xf numFmtId="0" fontId="49" fillId="0" borderId="0" applyNumberFormat="0" applyFill="0" applyBorder="0" applyAlignment="0" applyProtection="0"/>
    <xf numFmtId="0" fontId="50" fillId="0" borderId="55" applyNumberFormat="0" applyFill="0" applyAlignment="0" applyProtection="0"/>
    <xf numFmtId="0" fontId="51"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408">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 fillId="0" borderId="0" xfId="0" applyFont="1"/>
    <xf numFmtId="0" fontId="0" fillId="0" borderId="0" xfId="0" applyFont="1"/>
    <xf numFmtId="0" fontId="1" fillId="0" borderId="0" xfId="0" applyFont="1" applyAlignment="1">
      <alignment horizontal="left"/>
    </xf>
    <xf numFmtId="0" fontId="1" fillId="0" borderId="22" xfId="0" applyFont="1" applyBorder="1"/>
    <xf numFmtId="11" fontId="1" fillId="0" borderId="0" xfId="0" applyNumberFormat="1" applyFont="1"/>
    <xf numFmtId="11" fontId="1" fillId="0" borderId="22" xfId="0" applyNumberFormat="1" applyFont="1" applyBorder="1"/>
    <xf numFmtId="165" fontId="1" fillId="0" borderId="0" xfId="0" applyNumberFormat="1" applyFont="1"/>
    <xf numFmtId="10" fontId="1" fillId="0" borderId="0" xfId="0" applyNumberFormat="1" applyFont="1"/>
    <xf numFmtId="0" fontId="52" fillId="0" borderId="0" xfId="2" applyFont="1" applyFill="1"/>
    <xf numFmtId="0" fontId="2" fillId="0" borderId="0" xfId="2" applyFont="1" applyFill="1" applyAlignment="1">
      <alignment horizontal="center"/>
    </xf>
    <xf numFmtId="0" fontId="52" fillId="0" borderId="0" xfId="2" applyFont="1" applyFill="1" applyBorder="1"/>
    <xf numFmtId="0" fontId="3" fillId="0" borderId="0" xfId="2" applyFont="1" applyFill="1" applyBorder="1"/>
    <xf numFmtId="0" fontId="1" fillId="6" borderId="0" xfId="2" applyFont="1" applyFill="1" applyBorder="1"/>
    <xf numFmtId="0" fontId="3" fillId="0" borderId="0" xfId="2" applyFont="1" applyFill="1" applyBorder="1" applyAlignment="1">
      <alignment horizontal="left"/>
    </xf>
    <xf numFmtId="0" fontId="3" fillId="0" borderId="22" xfId="2" applyFont="1" applyFill="1" applyBorder="1"/>
    <xf numFmtId="0" fontId="1" fillId="0" borderId="0" xfId="2" applyFont="1" applyFill="1"/>
    <xf numFmtId="0" fontId="18" fillId="0" borderId="0" xfId="2" applyFont="1" applyFill="1"/>
    <xf numFmtId="0" fontId="1" fillId="0" borderId="0" xfId="2" applyFont="1" applyFill="1" applyAlignment="1">
      <alignment horizontal="left"/>
    </xf>
    <xf numFmtId="0" fontId="1" fillId="0" borderId="22" xfId="2" applyFont="1" applyFill="1" applyBorder="1"/>
    <xf numFmtId="0" fontId="3" fillId="0" borderId="9" xfId="2" applyFont="1" applyFill="1" applyBorder="1" applyAlignment="1">
      <alignment horizontal="left"/>
    </xf>
    <xf numFmtId="0" fontId="53" fillId="0" borderId="9" xfId="2" applyFont="1" applyFill="1" applyBorder="1"/>
    <xf numFmtId="0" fontId="1" fillId="0" borderId="9" xfId="2" applyFont="1" applyFill="1" applyBorder="1"/>
    <xf numFmtId="0" fontId="1" fillId="0" borderId="24" xfId="2" applyFont="1" applyFill="1" applyBorder="1"/>
    <xf numFmtId="0" fontId="1" fillId="0" borderId="0" xfId="0" applyFont="1" applyAlignment="1">
      <alignment horizontal="right"/>
    </xf>
    <xf numFmtId="11" fontId="1" fillId="0" borderId="0" xfId="0" applyNumberFormat="1" applyFont="1" applyFill="1"/>
    <xf numFmtId="0" fontId="1" fillId="0" borderId="0" xfId="0" applyFont="1" applyFill="1"/>
    <xf numFmtId="166" fontId="1" fillId="0" borderId="0" xfId="0" applyNumberFormat="1" applyFont="1" applyFill="1"/>
    <xf numFmtId="11" fontId="0" fillId="0" borderId="0" xfId="0" applyNumberFormat="1" applyFont="1"/>
    <xf numFmtId="2" fontId="1" fillId="0" borderId="0" xfId="0" applyNumberFormat="1" applyFont="1"/>
    <xf numFmtId="0" fontId="0" fillId="0" borderId="0" xfId="0" applyFont="1" applyFill="1" applyBorder="1"/>
    <xf numFmtId="0" fontId="0" fillId="0" borderId="0" xfId="0" applyFont="1" applyBorder="1"/>
    <xf numFmtId="0" fontId="0" fillId="0" borderId="22" xfId="0" applyFont="1" applyBorder="1"/>
    <xf numFmtId="164" fontId="1" fillId="0" borderId="0" xfId="0" applyNumberFormat="1" applyFont="1"/>
    <xf numFmtId="0" fontId="3" fillId="0" borderId="0" xfId="0" applyFont="1"/>
    <xf numFmtId="0" fontId="15" fillId="0" borderId="0" xfId="0" applyFont="1" applyFill="1" applyBorder="1"/>
    <xf numFmtId="0" fontId="15" fillId="0" borderId="0" xfId="0" applyFont="1" applyAlignment="1">
      <alignment horizontal="right"/>
    </xf>
    <xf numFmtId="0" fontId="0" fillId="0" borderId="0" xfId="0" applyAlignment="1">
      <alignment horizontal="right"/>
    </xf>
    <xf numFmtId="0" fontId="15" fillId="6" borderId="0" xfId="0" applyFont="1" applyFill="1"/>
    <xf numFmtId="0" fontId="52" fillId="0" borderId="0" xfId="2" applyFont="1"/>
    <xf numFmtId="11" fontId="15" fillId="10" borderId="16" xfId="0" applyNumberFormat="1" applyFont="1" applyFill="1" applyBorder="1" applyAlignment="1" applyProtection="1">
      <alignment vertical="top"/>
      <protection hidden="1"/>
    </xf>
    <xf numFmtId="0" fontId="4" fillId="0" borderId="16" xfId="2" applyFont="1" applyBorder="1" applyAlignment="1" applyProtection="1">
      <alignment horizontal="center" vertical="top"/>
      <protection locked="0"/>
    </xf>
    <xf numFmtId="0" fontId="4" fillId="0" borderId="16" xfId="2" applyFont="1" applyBorder="1" applyAlignment="1" applyProtection="1">
      <alignment vertical="top" wrapText="1"/>
      <protection locked="0"/>
    </xf>
    <xf numFmtId="0" fontId="15" fillId="0" borderId="0" xfId="0" applyFont="1" applyFill="1"/>
    <xf numFmtId="2" fontId="15" fillId="0" borderId="16" xfId="0" applyNumberFormat="1" applyFont="1" applyBorder="1" applyProtection="1">
      <protection locked="0"/>
    </xf>
    <xf numFmtId="164" fontId="1" fillId="6" borderId="0" xfId="0" applyNumberFormat="1" applyFont="1" applyFill="1"/>
    <xf numFmtId="0" fontId="22" fillId="0" borderId="0" xfId="3" applyFill="1" applyAlignment="1" applyProtection="1">
      <alignment horizontal="left" vertical="top"/>
      <protection locked="0"/>
    </xf>
    <xf numFmtId="0" fontId="22" fillId="0" borderId="0" xfId="3" applyAlignment="1" applyProtection="1">
      <alignment horizontal="left" vertical="top"/>
    </xf>
    <xf numFmtId="11" fontId="0" fillId="6" borderId="0" xfId="0" applyNumberFormat="1" applyFont="1" applyFill="1"/>
    <xf numFmtId="11" fontId="1" fillId="6" borderId="0" xfId="0" applyNumberFormat="1" applyFont="1" applyFill="1"/>
    <xf numFmtId="11" fontId="0" fillId="0" borderId="22" xfId="0" applyNumberFormat="1" applyFont="1" applyBorder="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312965</xdr:colOff>
      <xdr:row>1</xdr:row>
      <xdr:rowOff>114300</xdr:rowOff>
    </xdr:from>
    <xdr:to>
      <xdr:col>11</xdr:col>
      <xdr:colOff>510785</xdr:colOff>
      <xdr:row>21</xdr:row>
      <xdr:rowOff>137887</xdr:rowOff>
    </xdr:to>
    <xdr:grpSp>
      <xdr:nvGrpSpPr>
        <xdr:cNvPr id="27" name="Group 26"/>
        <xdr:cNvGrpSpPr/>
      </xdr:nvGrpSpPr>
      <xdr:grpSpPr>
        <a:xfrm>
          <a:off x="1537608" y="304800"/>
          <a:ext cx="5708713" cy="3833587"/>
          <a:chOff x="1537608" y="304800"/>
          <a:chExt cx="5708713" cy="3833587"/>
        </a:xfrm>
      </xdr:grpSpPr>
      <xdr:grpSp>
        <xdr:nvGrpSpPr>
          <xdr:cNvPr id="2" name="Legend"/>
          <xdr:cNvGrpSpPr/>
        </xdr:nvGrpSpPr>
        <xdr:grpSpPr>
          <a:xfrm>
            <a:off x="1850571"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8" name="Boundary Box"/>
          <xdr:cNvSpPr/>
        </xdr:nvSpPr>
        <xdr:spPr>
          <a:xfrm>
            <a:off x="3569607" y="304800"/>
            <a:ext cx="3676714"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Rare earth oxide formation: System Boundary</a:t>
            </a:r>
          </a:p>
        </xdr:txBody>
      </xdr:sp>
      <xdr:sp macro="" textlink="">
        <xdr:nvSpPr>
          <xdr:cNvPr id="9" name="Process"/>
          <xdr:cNvSpPr/>
        </xdr:nvSpPr>
        <xdr:spPr>
          <a:xfrm>
            <a:off x="4337050" y="1066800"/>
            <a:ext cx="2297366"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Precipitation of rare earth oxylates from aqueous rare earth chlorides and subsequent calcination to form rare earth oxides</a:t>
            </a:r>
          </a:p>
        </xdr:txBody>
      </xdr: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Rare earth oxide</a:t>
            </a:r>
            <a:endParaRPr lang="en-US" sz="10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2" name="Parallelogram 11"/>
          <xdr:cNvSpPr/>
        </xdr:nvSpPr>
        <xdr:spPr>
          <a:xfrm>
            <a:off x="1660072" y="462644"/>
            <a:ext cx="1632858" cy="721179"/>
          </a:xfrm>
          <a:prstGeom prst="parallelogram">
            <a:avLst>
              <a:gd name="adj" fmla="val 32547"/>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Rare earth chloride cconcentrate</a:t>
            </a:r>
          </a:p>
        </xdr:txBody>
      </xdr:sp>
      <xdr:sp macro="" textlink="">
        <xdr:nvSpPr>
          <xdr:cNvPr id="13" name="Parallelogram 12"/>
          <xdr:cNvSpPr/>
        </xdr:nvSpPr>
        <xdr:spPr>
          <a:xfrm>
            <a:off x="1660072" y="1427120"/>
            <a:ext cx="1632858" cy="721179"/>
          </a:xfrm>
          <a:prstGeom prst="parallelogram">
            <a:avLst>
              <a:gd name="adj" fmla="val 32547"/>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Oxalic</a:t>
            </a:r>
            <a:r>
              <a:rPr lang="en-US" sz="1100" baseline="0">
                <a:solidFill>
                  <a:sysClr val="windowText" lastClr="000000"/>
                </a:solidFill>
              </a:rPr>
              <a:t> acid</a:t>
            </a:r>
            <a:endParaRPr lang="en-US" sz="1100">
              <a:solidFill>
                <a:sysClr val="windowText" lastClr="000000"/>
              </a:solidFill>
            </a:endParaRPr>
          </a:p>
        </xdr:txBody>
      </xdr:sp>
      <xdr:sp macro="" textlink="">
        <xdr:nvSpPr>
          <xdr:cNvPr id="14" name="Parallelogram 13"/>
          <xdr:cNvSpPr/>
        </xdr:nvSpPr>
        <xdr:spPr>
          <a:xfrm>
            <a:off x="1537608" y="2406833"/>
            <a:ext cx="1632858" cy="721179"/>
          </a:xfrm>
          <a:prstGeom prst="parallelogram">
            <a:avLst>
              <a:gd name="adj" fmla="val 32547"/>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ysClr val="windowText" lastClr="000000"/>
                </a:solidFill>
              </a:rPr>
              <a:t>Heat</a:t>
            </a:r>
          </a:p>
        </xdr:txBody>
      </xdr:sp>
      <xdr:sp macro="" textlink="">
        <xdr:nvSpPr>
          <xdr:cNvPr id="15" name="Rectangle 14"/>
          <xdr:cNvSpPr/>
        </xdr:nvSpPr>
        <xdr:spPr>
          <a:xfrm>
            <a:off x="3565068" y="457473"/>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Rectangle 15"/>
          <xdr:cNvSpPr/>
        </xdr:nvSpPr>
        <xdr:spPr>
          <a:xfrm>
            <a:off x="3565066" y="1421949"/>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16"/>
          <xdr:cNvSpPr/>
        </xdr:nvSpPr>
        <xdr:spPr>
          <a:xfrm>
            <a:off x="3565071" y="2401662"/>
            <a:ext cx="9144" cy="7315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9" name="Straight Arrow Connector 18"/>
          <xdr:cNvCxnSpPr>
            <a:stCxn id="12" idx="2"/>
            <a:endCxn id="15" idx="1"/>
          </xdr:cNvCxnSpPr>
        </xdr:nvCxnSpPr>
        <xdr:spPr>
          <a:xfrm flipV="1">
            <a:off x="3175569" y="823233"/>
            <a:ext cx="389499" cy="1"/>
          </a:xfrm>
          <a:prstGeom prst="straightConnector1">
            <a:avLst/>
          </a:prstGeom>
          <a:ln>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a:stCxn id="13" idx="2"/>
            <a:endCxn id="16" idx="1"/>
          </xdr:cNvCxnSpPr>
        </xdr:nvCxnSpPr>
        <xdr:spPr>
          <a:xfrm flipV="1">
            <a:off x="3175569" y="1787709"/>
            <a:ext cx="389497" cy="1"/>
          </a:xfrm>
          <a:prstGeom prst="line">
            <a:avLst/>
          </a:prstGeom>
          <a:ln>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a:stCxn id="14" idx="2"/>
            <a:endCxn id="17" idx="1"/>
          </xdr:cNvCxnSpPr>
        </xdr:nvCxnSpPr>
        <xdr:spPr>
          <a:xfrm flipV="1">
            <a:off x="3053105" y="2767422"/>
            <a:ext cx="511966" cy="1"/>
          </a:xfrm>
          <a:prstGeom prst="line">
            <a:avLst/>
          </a:prstGeom>
          <a:ln>
            <a:solidFill>
              <a:schemeClr val="tx1"/>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headEnd type="none" w="med" len="med"/>
          <a:tailEnd type="triangle" w="med" len="med"/>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1.eere.energy.gov/manufacturing/tech_assistance/winter2009.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workbookViewId="0">
      <selection activeCell="C21" sqref="C2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06" t="s">
        <v>0</v>
      </c>
      <c r="B1" s="306"/>
      <c r="C1" s="306"/>
      <c r="D1" s="306"/>
      <c r="E1" s="306"/>
      <c r="F1" s="306"/>
      <c r="G1" s="306"/>
      <c r="H1" s="306"/>
      <c r="I1" s="306"/>
      <c r="J1" s="306"/>
      <c r="K1" s="306"/>
      <c r="L1" s="306"/>
      <c r="M1" s="306"/>
      <c r="N1" s="306"/>
      <c r="O1" s="1"/>
    </row>
    <row r="2" spans="1:27" ht="21" thickBot="1" x14ac:dyDescent="0.35">
      <c r="A2" s="306" t="s">
        <v>1</v>
      </c>
      <c r="B2" s="306"/>
      <c r="C2" s="306"/>
      <c r="D2" s="306"/>
      <c r="E2" s="306"/>
      <c r="F2" s="306"/>
      <c r="G2" s="306"/>
      <c r="H2" s="306"/>
      <c r="I2" s="306"/>
      <c r="J2" s="306"/>
      <c r="K2" s="306"/>
      <c r="L2" s="306"/>
      <c r="M2" s="306"/>
      <c r="N2" s="306"/>
      <c r="O2" s="1"/>
    </row>
    <row r="3" spans="1:27" ht="12.75" customHeight="1" thickBot="1" x14ac:dyDescent="0.25">
      <c r="B3" s="2"/>
      <c r="C3" s="4" t="s">
        <v>2</v>
      </c>
      <c r="D3" s="5" t="str">
        <f>'Data Summary'!D4</f>
        <v>Rare earth oxide formation</v>
      </c>
      <c r="E3" s="6"/>
      <c r="F3" s="6"/>
      <c r="G3" s="6"/>
      <c r="H3" s="6"/>
      <c r="I3" s="6"/>
      <c r="J3" s="6"/>
      <c r="K3" s="6"/>
      <c r="L3" s="6"/>
      <c r="M3" s="7"/>
      <c r="N3" s="2"/>
      <c r="O3" s="2"/>
    </row>
    <row r="4" spans="1:27" ht="42.75" customHeight="1" thickBot="1" x14ac:dyDescent="0.25">
      <c r="B4" s="2"/>
      <c r="C4" s="4" t="s">
        <v>3</v>
      </c>
      <c r="D4" s="307" t="str">
        <f>'Data Summary'!D6</f>
        <v>Precipitation of rare earth oxylates from aqueous rare earth chlorides and subsequent calcination to form rare earth oxides</v>
      </c>
      <c r="E4" s="308"/>
      <c r="F4" s="308"/>
      <c r="G4" s="308"/>
      <c r="H4" s="308"/>
      <c r="I4" s="308"/>
      <c r="J4" s="308"/>
      <c r="K4" s="308"/>
      <c r="L4" s="308"/>
      <c r="M4" s="309"/>
      <c r="N4" s="2"/>
      <c r="O4" s="2"/>
    </row>
    <row r="5" spans="1:27" ht="39" customHeight="1" thickBot="1" x14ac:dyDescent="0.25">
      <c r="B5" s="2"/>
      <c r="C5" s="4" t="s">
        <v>4</v>
      </c>
      <c r="D5" s="310" t="s">
        <v>515</v>
      </c>
      <c r="E5" s="311"/>
      <c r="F5" s="311"/>
      <c r="G5" s="311"/>
      <c r="H5" s="311"/>
      <c r="I5" s="311"/>
      <c r="J5" s="311"/>
      <c r="K5" s="311"/>
      <c r="L5" s="311"/>
      <c r="M5" s="312"/>
      <c r="N5" s="2"/>
      <c r="O5" s="2"/>
    </row>
    <row r="6" spans="1:27" ht="56.25" customHeight="1" thickBot="1" x14ac:dyDescent="0.25">
      <c r="B6" s="2"/>
      <c r="C6" s="8" t="s">
        <v>5</v>
      </c>
      <c r="D6" s="310" t="s">
        <v>6</v>
      </c>
      <c r="E6" s="311"/>
      <c r="F6" s="311"/>
      <c r="G6" s="311"/>
      <c r="H6" s="311"/>
      <c r="I6" s="311"/>
      <c r="J6" s="311"/>
      <c r="K6" s="311"/>
      <c r="L6" s="311"/>
      <c r="M6" s="312"/>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00" t="s">
        <v>10</v>
      </c>
      <c r="C9" s="10" t="s">
        <v>11</v>
      </c>
      <c r="D9" s="302" t="s">
        <v>12</v>
      </c>
      <c r="E9" s="302"/>
      <c r="F9" s="302"/>
      <c r="G9" s="302"/>
      <c r="H9" s="302"/>
      <c r="I9" s="302"/>
      <c r="J9" s="302"/>
      <c r="K9" s="302"/>
      <c r="L9" s="302"/>
      <c r="M9" s="303"/>
      <c r="N9" s="2"/>
      <c r="O9" s="2"/>
      <c r="P9" s="2"/>
      <c r="Q9" s="2"/>
      <c r="R9" s="2"/>
      <c r="S9" s="2"/>
      <c r="T9" s="2"/>
      <c r="U9" s="2"/>
      <c r="V9" s="2"/>
      <c r="W9" s="2"/>
      <c r="X9" s="2"/>
      <c r="Y9" s="2"/>
      <c r="Z9" s="2"/>
      <c r="AA9" s="2"/>
    </row>
    <row r="10" spans="1:27" s="11" customFormat="1" ht="15" customHeight="1" x14ac:dyDescent="0.2">
      <c r="A10" s="2"/>
      <c r="B10" s="301"/>
      <c r="C10" s="12" t="s">
        <v>13</v>
      </c>
      <c r="D10" s="304" t="s">
        <v>14</v>
      </c>
      <c r="E10" s="304"/>
      <c r="F10" s="304"/>
      <c r="G10" s="304"/>
      <c r="H10" s="304"/>
      <c r="I10" s="304"/>
      <c r="J10" s="304"/>
      <c r="K10" s="304"/>
      <c r="L10" s="304"/>
      <c r="M10" s="305"/>
      <c r="N10" s="2"/>
      <c r="O10" s="2"/>
      <c r="P10" s="2"/>
      <c r="Q10" s="2"/>
      <c r="R10" s="2"/>
      <c r="S10" s="2"/>
      <c r="T10" s="2"/>
      <c r="U10" s="2"/>
      <c r="V10" s="2"/>
      <c r="W10" s="2"/>
      <c r="X10" s="2"/>
      <c r="Y10" s="2"/>
      <c r="Z10" s="2"/>
      <c r="AA10" s="2"/>
    </row>
    <row r="11" spans="1:27" s="11" customFormat="1" ht="15" customHeight="1" x14ac:dyDescent="0.2">
      <c r="A11" s="2"/>
      <c r="B11" s="301"/>
      <c r="C11" s="12" t="s">
        <v>15</v>
      </c>
      <c r="D11" s="304" t="s">
        <v>16</v>
      </c>
      <c r="E11" s="304"/>
      <c r="F11" s="304"/>
      <c r="G11" s="304"/>
      <c r="H11" s="304"/>
      <c r="I11" s="304"/>
      <c r="J11" s="304"/>
      <c r="K11" s="304"/>
      <c r="L11" s="304"/>
      <c r="M11" s="305"/>
      <c r="N11" s="2"/>
      <c r="O11" s="2"/>
      <c r="P11" s="2"/>
      <c r="Q11" s="2"/>
      <c r="R11" s="2"/>
      <c r="S11" s="2"/>
      <c r="T11" s="2"/>
      <c r="U11" s="2"/>
      <c r="V11" s="2"/>
      <c r="W11" s="2"/>
      <c r="X11" s="2"/>
      <c r="Y11" s="2"/>
      <c r="Z11" s="2"/>
      <c r="AA11" s="2"/>
    </row>
    <row r="12" spans="1:27" s="11" customFormat="1" ht="15" customHeight="1" x14ac:dyDescent="0.2">
      <c r="A12" s="2"/>
      <c r="B12" s="301"/>
      <c r="C12" s="12" t="s">
        <v>17</v>
      </c>
      <c r="D12" s="304" t="s">
        <v>18</v>
      </c>
      <c r="E12" s="304"/>
      <c r="F12" s="304"/>
      <c r="G12" s="304"/>
      <c r="H12" s="304"/>
      <c r="I12" s="304"/>
      <c r="J12" s="304"/>
      <c r="K12" s="304"/>
      <c r="L12" s="304"/>
      <c r="M12" s="305"/>
      <c r="N12" s="2"/>
      <c r="O12" s="2"/>
      <c r="P12" s="2"/>
      <c r="Q12" s="2"/>
      <c r="R12" s="2"/>
      <c r="S12" s="2"/>
      <c r="T12" s="2"/>
      <c r="U12" s="2"/>
      <c r="V12" s="2"/>
      <c r="W12" s="2"/>
      <c r="X12" s="2"/>
      <c r="Y12" s="2"/>
      <c r="Z12" s="2"/>
      <c r="AA12" s="2"/>
    </row>
    <row r="13" spans="1:27" ht="15" customHeight="1" x14ac:dyDescent="0.2">
      <c r="B13" s="315" t="s">
        <v>19</v>
      </c>
      <c r="C13" s="13" t="s">
        <v>527</v>
      </c>
      <c r="D13" s="317" t="s">
        <v>528</v>
      </c>
      <c r="E13" s="317"/>
      <c r="F13" s="317"/>
      <c r="G13" s="317"/>
      <c r="H13" s="317"/>
      <c r="I13" s="317"/>
      <c r="J13" s="317"/>
      <c r="K13" s="317"/>
      <c r="L13" s="317"/>
      <c r="M13" s="318"/>
      <c r="N13" s="2"/>
      <c r="O13" s="2"/>
    </row>
    <row r="14" spans="1:27" ht="15" customHeight="1" x14ac:dyDescent="0.2">
      <c r="B14" s="315"/>
      <c r="C14" s="13" t="s">
        <v>529</v>
      </c>
      <c r="D14" s="317" t="s">
        <v>530</v>
      </c>
      <c r="E14" s="317"/>
      <c r="F14" s="317"/>
      <c r="G14" s="317"/>
      <c r="H14" s="317"/>
      <c r="I14" s="317"/>
      <c r="J14" s="317"/>
      <c r="K14" s="317"/>
      <c r="L14" s="317"/>
      <c r="M14" s="318"/>
      <c r="N14" s="2"/>
      <c r="O14" s="2"/>
    </row>
    <row r="15" spans="1:27" ht="15" customHeight="1" x14ac:dyDescent="0.2">
      <c r="B15" s="315"/>
      <c r="C15" s="13" t="s">
        <v>20</v>
      </c>
      <c r="D15" s="317" t="s">
        <v>21</v>
      </c>
      <c r="E15" s="317"/>
      <c r="F15" s="317"/>
      <c r="G15" s="317"/>
      <c r="H15" s="317"/>
      <c r="I15" s="317"/>
      <c r="J15" s="317"/>
      <c r="K15" s="317"/>
      <c r="L15" s="317"/>
      <c r="M15" s="318"/>
      <c r="N15" s="2"/>
      <c r="O15" s="2"/>
    </row>
    <row r="16" spans="1:27" ht="15" customHeight="1" x14ac:dyDescent="0.2">
      <c r="B16" s="315"/>
      <c r="C16" s="14" t="s">
        <v>22</v>
      </c>
      <c r="D16" s="317" t="s">
        <v>22</v>
      </c>
      <c r="E16" s="317"/>
      <c r="F16" s="317"/>
      <c r="G16" s="317"/>
      <c r="H16" s="317"/>
      <c r="I16" s="317"/>
      <c r="J16" s="317"/>
      <c r="K16" s="317"/>
      <c r="L16" s="317"/>
      <c r="M16" s="318"/>
      <c r="N16" s="2"/>
      <c r="O16" s="2"/>
    </row>
    <row r="17" spans="2:16" ht="15" customHeight="1" thickBot="1" x14ac:dyDescent="0.25">
      <c r="B17" s="316"/>
      <c r="C17" s="15"/>
      <c r="D17" s="319"/>
      <c r="E17" s="319"/>
      <c r="F17" s="319"/>
      <c r="G17" s="319"/>
      <c r="H17" s="319"/>
      <c r="I17" s="319"/>
      <c r="J17" s="319"/>
      <c r="K17" s="319"/>
      <c r="L17" s="319"/>
      <c r="M17" s="320"/>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6">
        <v>41807</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7" t="s">
        <v>25</v>
      </c>
      <c r="D22" s="9"/>
      <c r="E22" s="9"/>
      <c r="F22" s="9"/>
      <c r="G22" s="9"/>
      <c r="H22" s="9"/>
      <c r="I22" s="9"/>
      <c r="J22" s="9"/>
      <c r="K22" s="9"/>
      <c r="L22" s="9"/>
      <c r="M22" s="9"/>
      <c r="N22" s="2"/>
      <c r="O22" s="2"/>
    </row>
    <row r="23" spans="2:16" x14ac:dyDescent="0.2">
      <c r="B23" s="9" t="s">
        <v>26</v>
      </c>
      <c r="C23" s="17"/>
      <c r="D23" s="9"/>
      <c r="E23" s="9"/>
      <c r="F23" s="9"/>
      <c r="G23" s="9"/>
      <c r="H23" s="9"/>
      <c r="I23" s="9"/>
      <c r="J23" s="9"/>
      <c r="K23" s="9"/>
      <c r="L23" s="9"/>
      <c r="M23" s="9"/>
      <c r="N23" s="2"/>
      <c r="O23" s="2"/>
    </row>
    <row r="24" spans="2:16" x14ac:dyDescent="0.2">
      <c r="B24" s="9"/>
      <c r="C24" s="17"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313" t="str">
        <f>"This document should be cited as: NETL (2014). NETL Life Cycle Inventory Data – Unit Process: "&amp;D3&amp;". U.S. Department of Energy, National Energy Technology Laboratory. Last Updated: June 2014 (version 01). www.netl.doe.gov/LCA (http://www.netl.doe.gov/LCA)"</f>
        <v>This document should be cited as: NETL (2014). NETL Life Cycle Inventory Data – Unit Process: Rare earth oxide formation. U.S. Department of Energy, National Energy Technology Laboratory. Last Updated: June 2014 (version 01). www.netl.doe.gov/LCA (http://www.netl.doe.gov/LCA)</v>
      </c>
      <c r="D26" s="313"/>
      <c r="E26" s="313"/>
      <c r="F26" s="313"/>
      <c r="G26" s="313"/>
      <c r="H26" s="313"/>
      <c r="I26" s="313"/>
      <c r="J26" s="313"/>
      <c r="K26" s="313"/>
      <c r="L26" s="313"/>
      <c r="M26" s="313"/>
      <c r="N26" s="2"/>
      <c r="O26" s="2"/>
    </row>
    <row r="27" spans="2:16" x14ac:dyDescent="0.2">
      <c r="B27" s="9" t="s">
        <v>29</v>
      </c>
      <c r="C27" s="9"/>
      <c r="D27" s="9"/>
      <c r="E27" s="9"/>
      <c r="F27" s="9"/>
      <c r="G27" s="17"/>
      <c r="H27" s="17"/>
      <c r="I27" s="17"/>
      <c r="J27" s="17"/>
      <c r="K27" s="17"/>
      <c r="L27" s="17"/>
      <c r="M27" s="17"/>
      <c r="N27" s="2"/>
      <c r="O27" s="2"/>
    </row>
    <row r="28" spans="2:16" x14ac:dyDescent="0.2">
      <c r="B28" s="17"/>
      <c r="C28" s="17" t="s">
        <v>30</v>
      </c>
      <c r="D28" s="17"/>
      <c r="E28" s="18" t="s">
        <v>31</v>
      </c>
      <c r="F28" s="19"/>
      <c r="G28" s="17" t="s">
        <v>32</v>
      </c>
      <c r="H28" s="17"/>
      <c r="I28" s="17"/>
      <c r="J28" s="17"/>
      <c r="K28" s="17"/>
      <c r="L28" s="17"/>
      <c r="M28" s="17"/>
      <c r="N28" s="2"/>
      <c r="O28" s="2"/>
      <c r="P28" s="17"/>
    </row>
    <row r="29" spans="2:16" x14ac:dyDescent="0.2">
      <c r="B29" s="17"/>
      <c r="C29" s="17" t="s">
        <v>33</v>
      </c>
      <c r="D29" s="17"/>
      <c r="E29" s="17"/>
      <c r="F29" s="17"/>
      <c r="G29" s="17"/>
      <c r="H29" s="17"/>
      <c r="I29" s="17"/>
      <c r="J29" s="17"/>
      <c r="K29" s="17"/>
      <c r="L29" s="17"/>
      <c r="M29" s="17"/>
      <c r="N29" s="2"/>
      <c r="O29" s="2"/>
      <c r="P29" s="17"/>
    </row>
    <row r="30" spans="2:16" x14ac:dyDescent="0.2">
      <c r="B30" s="17"/>
      <c r="C30" s="17" t="s">
        <v>34</v>
      </c>
      <c r="D30" s="17"/>
      <c r="E30" s="17"/>
      <c r="F30" s="17"/>
      <c r="G30" s="17"/>
      <c r="H30" s="17"/>
      <c r="I30" s="17"/>
      <c r="J30" s="17"/>
      <c r="K30" s="17"/>
      <c r="L30" s="17"/>
      <c r="M30" s="17"/>
      <c r="N30" s="17"/>
      <c r="O30" s="17"/>
      <c r="P30" s="17"/>
    </row>
    <row r="31" spans="2:16" x14ac:dyDescent="0.2">
      <c r="B31" s="17"/>
      <c r="C31" s="314" t="s">
        <v>35</v>
      </c>
      <c r="D31" s="314"/>
      <c r="E31" s="314"/>
      <c r="F31" s="314"/>
      <c r="G31" s="314"/>
      <c r="H31" s="314"/>
      <c r="I31" s="314"/>
      <c r="J31" s="314"/>
      <c r="K31" s="314"/>
      <c r="L31" s="314"/>
      <c r="M31" s="314"/>
      <c r="N31" s="17"/>
      <c r="O31" s="17"/>
      <c r="P31" s="17"/>
    </row>
    <row r="32" spans="2:16" x14ac:dyDescent="0.2">
      <c r="B32" s="17"/>
      <c r="C32" s="17"/>
      <c r="D32" s="17"/>
      <c r="E32" s="17"/>
      <c r="F32" s="17"/>
      <c r="G32" s="17"/>
      <c r="H32" s="17"/>
      <c r="I32" s="17"/>
      <c r="J32" s="17"/>
      <c r="K32" s="17"/>
      <c r="L32" s="17"/>
      <c r="M32" s="17"/>
      <c r="N32" s="17"/>
      <c r="O32" s="17"/>
    </row>
    <row r="33" spans="2:15" x14ac:dyDescent="0.2">
      <c r="B33" s="9" t="s">
        <v>36</v>
      </c>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17"/>
      <c r="C48" s="17"/>
      <c r="D48" s="17"/>
      <c r="E48" s="17"/>
      <c r="F48" s="17"/>
      <c r="G48" s="17"/>
      <c r="H48" s="17"/>
      <c r="I48" s="17"/>
      <c r="J48" s="17"/>
      <c r="K48" s="17"/>
      <c r="L48" s="17"/>
      <c r="M48" s="17"/>
      <c r="N48" s="17"/>
      <c r="O48" s="17"/>
    </row>
    <row r="49" spans="2:15" x14ac:dyDescent="0.2">
      <c r="B49" s="9" t="s">
        <v>37</v>
      </c>
      <c r="C49" s="17"/>
      <c r="D49" s="17"/>
      <c r="E49" s="17"/>
      <c r="F49" s="17"/>
      <c r="G49" s="17"/>
      <c r="H49" s="17"/>
      <c r="I49" s="17"/>
      <c r="J49" s="17"/>
      <c r="K49" s="17"/>
      <c r="L49" s="17"/>
      <c r="M49" s="17"/>
      <c r="N49" s="17"/>
      <c r="O49" s="17"/>
    </row>
    <row r="50" spans="2:15" x14ac:dyDescent="0.2">
      <c r="B50" s="17"/>
      <c r="C50" s="20" t="s">
        <v>38</v>
      </c>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row r="506" spans="2:15" x14ac:dyDescent="0.2">
      <c r="B506" s="17"/>
      <c r="C506" s="17"/>
      <c r="D506" s="17"/>
      <c r="E506" s="17"/>
      <c r="F506" s="17"/>
      <c r="G506" s="17"/>
      <c r="H506" s="17"/>
      <c r="I506" s="17"/>
      <c r="J506" s="17"/>
      <c r="K506" s="17"/>
      <c r="L506" s="17"/>
      <c r="M506" s="17"/>
      <c r="N506" s="17"/>
      <c r="O506" s="17"/>
    </row>
  </sheetData>
  <mergeCells count="18">
    <mergeCell ref="C26:M26"/>
    <mergeCell ref="C31:M31"/>
    <mergeCell ref="B13:B17"/>
    <mergeCell ref="D13:M13"/>
    <mergeCell ref="D14:M14"/>
    <mergeCell ref="D15:M15"/>
    <mergeCell ref="D16:M16"/>
    <mergeCell ref="D17:M17"/>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70" zoomScaleNormal="70" workbookViewId="0">
      <selection activeCell="N16" sqref="N16"/>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22"/>
  <sheetViews>
    <sheetView tabSelected="1" zoomScaleNormal="100" workbookViewId="0">
      <selection activeCell="B1" sqref="B1:Q1"/>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06" t="s">
        <v>0</v>
      </c>
      <c r="C1" s="306"/>
      <c r="D1" s="306"/>
      <c r="E1" s="306"/>
      <c r="F1" s="306"/>
      <c r="G1" s="306"/>
      <c r="H1" s="306"/>
      <c r="I1" s="306"/>
      <c r="J1" s="306"/>
      <c r="K1" s="306"/>
      <c r="L1" s="306"/>
      <c r="M1" s="306"/>
      <c r="N1" s="306"/>
      <c r="O1" s="306"/>
      <c r="P1" s="306"/>
      <c r="Q1" s="306"/>
      <c r="R1" s="2"/>
      <c r="S1" s="2"/>
      <c r="T1" s="2"/>
      <c r="U1" s="2"/>
      <c r="V1" s="2"/>
      <c r="W1" s="2"/>
      <c r="X1" s="2"/>
      <c r="Y1" s="2"/>
    </row>
    <row r="2" spans="1:25" ht="20.25" x14ac:dyDescent="0.3">
      <c r="A2" s="2"/>
      <c r="B2" s="306" t="s">
        <v>39</v>
      </c>
      <c r="C2" s="306"/>
      <c r="D2" s="306"/>
      <c r="E2" s="306"/>
      <c r="F2" s="306"/>
      <c r="G2" s="306"/>
      <c r="H2" s="306"/>
      <c r="I2" s="306"/>
      <c r="J2" s="306"/>
      <c r="K2" s="306"/>
      <c r="L2" s="306"/>
      <c r="M2" s="306"/>
      <c r="N2" s="306"/>
      <c r="O2" s="306"/>
      <c r="P2" s="306"/>
      <c r="Q2" s="306"/>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24" t="s">
        <v>40</v>
      </c>
      <c r="C4" s="324"/>
      <c r="D4" s="21" t="s">
        <v>235</v>
      </c>
      <c r="E4" s="22"/>
      <c r="F4" s="2"/>
      <c r="G4" s="2"/>
      <c r="H4" s="2"/>
      <c r="I4" s="2"/>
      <c r="J4" s="2"/>
      <c r="K4" s="2"/>
      <c r="L4" s="2"/>
      <c r="M4" s="2"/>
      <c r="N4" s="2"/>
      <c r="O4" s="2"/>
      <c r="P4" s="2"/>
      <c r="Q4" s="2"/>
      <c r="R4" s="2"/>
      <c r="S4" s="2"/>
      <c r="T4" s="2"/>
      <c r="U4" s="2"/>
      <c r="V4" s="2"/>
      <c r="W4" s="2"/>
      <c r="X4" s="2"/>
      <c r="Y4" s="2"/>
    </row>
    <row r="5" spans="1:25" ht="15.75" thickBot="1" x14ac:dyDescent="0.3">
      <c r="A5" s="2"/>
      <c r="B5" s="324" t="s">
        <v>41</v>
      </c>
      <c r="C5" s="324"/>
      <c r="D5" s="23">
        <v>1</v>
      </c>
      <c r="E5" s="24" t="s">
        <v>42</v>
      </c>
      <c r="F5" s="25" t="s">
        <v>43</v>
      </c>
      <c r="G5" s="326" t="s">
        <v>340</v>
      </c>
      <c r="H5" s="326"/>
      <c r="I5" s="326"/>
      <c r="J5" s="326"/>
      <c r="K5" s="26"/>
      <c r="L5" s="26"/>
      <c r="M5" s="27" t="s">
        <v>17</v>
      </c>
      <c r="N5" s="28" t="str">
        <f>DQI!I7</f>
        <v>3,3,N/A,N/A,3</v>
      </c>
      <c r="O5" s="29"/>
      <c r="P5" s="17" t="s">
        <v>44</v>
      </c>
      <c r="Q5" s="2"/>
      <c r="R5" s="2"/>
      <c r="S5" s="2"/>
      <c r="T5" s="2"/>
      <c r="U5" s="2"/>
      <c r="V5" s="2"/>
      <c r="W5" s="2"/>
      <c r="X5" s="2"/>
      <c r="Y5" s="2"/>
    </row>
    <row r="6" spans="1:25" ht="27.75" customHeight="1" x14ac:dyDescent="0.25">
      <c r="A6" s="2"/>
      <c r="B6" s="327" t="s">
        <v>45</v>
      </c>
      <c r="C6" s="328"/>
      <c r="D6" s="329" t="s">
        <v>236</v>
      </c>
      <c r="E6" s="330"/>
      <c r="F6" s="330"/>
      <c r="G6" s="330"/>
      <c r="H6" s="330"/>
      <c r="I6" s="330"/>
      <c r="J6" s="330"/>
      <c r="K6" s="330"/>
      <c r="L6" s="330"/>
      <c r="M6" s="330"/>
      <c r="N6" s="330"/>
      <c r="O6" s="331"/>
      <c r="P6" s="30"/>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1"/>
      <c r="B8" s="332" t="s">
        <v>46</v>
      </c>
      <c r="C8" s="333"/>
      <c r="D8" s="333"/>
      <c r="E8" s="333"/>
      <c r="F8" s="333"/>
      <c r="G8" s="333"/>
      <c r="H8" s="333"/>
      <c r="I8" s="333"/>
      <c r="J8" s="333"/>
      <c r="K8" s="333"/>
      <c r="L8" s="333"/>
      <c r="M8" s="333"/>
      <c r="N8" s="333"/>
      <c r="O8" s="333"/>
      <c r="P8" s="334"/>
      <c r="Q8" s="31"/>
      <c r="R8" s="31"/>
      <c r="S8" s="31"/>
      <c r="T8" s="31"/>
      <c r="U8" s="31"/>
      <c r="V8" s="31"/>
      <c r="W8" s="31"/>
      <c r="X8" s="31"/>
      <c r="Y8" s="31"/>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24" t="s">
        <v>47</v>
      </c>
      <c r="C10" s="324"/>
      <c r="D10" s="335" t="s">
        <v>465</v>
      </c>
      <c r="E10" s="336"/>
      <c r="F10" s="2"/>
      <c r="G10" s="32" t="s">
        <v>48</v>
      </c>
      <c r="H10" s="33"/>
      <c r="I10" s="33"/>
      <c r="J10" s="33"/>
      <c r="K10" s="33"/>
      <c r="L10" s="33"/>
      <c r="M10" s="33"/>
      <c r="N10" s="33"/>
      <c r="O10" s="34"/>
      <c r="P10" s="2"/>
      <c r="Q10" s="2"/>
      <c r="R10" s="2"/>
      <c r="S10" s="2"/>
      <c r="T10" s="2"/>
      <c r="U10" s="2"/>
      <c r="V10" s="2"/>
      <c r="W10" s="2"/>
      <c r="X10" s="2"/>
      <c r="Y10" s="2"/>
    </row>
    <row r="11" spans="1:25" x14ac:dyDescent="0.25">
      <c r="A11" s="2"/>
      <c r="B11" s="337" t="s">
        <v>49</v>
      </c>
      <c r="C11" s="338"/>
      <c r="D11" s="321" t="s">
        <v>465</v>
      </c>
      <c r="E11" s="336"/>
      <c r="F11" s="2"/>
      <c r="G11" s="35" t="str">
        <f>CONCATENATE("Reference Flow: ",D5," ",E5," of ",G5)</f>
        <v>Reference Flow: 1 kg of rare earth chloride hexahydrate</v>
      </c>
      <c r="H11" s="36"/>
      <c r="I11" s="36"/>
      <c r="J11" s="36"/>
      <c r="K11" s="36"/>
      <c r="L11" s="36"/>
      <c r="M11" s="36"/>
      <c r="N11" s="36"/>
      <c r="O11" s="37"/>
      <c r="P11" s="2"/>
      <c r="Q11" s="2"/>
      <c r="R11" s="2"/>
      <c r="S11" s="2"/>
      <c r="T11" s="2"/>
      <c r="U11" s="2"/>
      <c r="V11" s="2"/>
      <c r="W11" s="2"/>
      <c r="X11" s="2"/>
      <c r="Y11" s="2"/>
    </row>
    <row r="12" spans="1:25" x14ac:dyDescent="0.25">
      <c r="A12" s="2"/>
      <c r="B12" s="324" t="s">
        <v>50</v>
      </c>
      <c r="C12" s="324"/>
      <c r="D12" s="325" t="s">
        <v>465</v>
      </c>
      <c r="E12" s="325"/>
      <c r="F12" s="2"/>
      <c r="G12" s="35"/>
      <c r="H12" s="36"/>
      <c r="I12" s="36"/>
      <c r="J12" s="36"/>
      <c r="K12" s="36"/>
      <c r="L12" s="36"/>
      <c r="M12" s="36"/>
      <c r="N12" s="36"/>
      <c r="O12" s="37"/>
      <c r="P12" s="2"/>
      <c r="Q12" s="2"/>
      <c r="R12" s="2"/>
      <c r="S12" s="2"/>
      <c r="T12" s="2"/>
      <c r="U12" s="2"/>
      <c r="V12" s="2"/>
      <c r="W12" s="2"/>
      <c r="X12" s="2"/>
      <c r="Y12" s="2"/>
    </row>
    <row r="13" spans="1:25" ht="12.75" customHeight="1" x14ac:dyDescent="0.25">
      <c r="A13" s="2"/>
      <c r="B13" s="324" t="s">
        <v>51</v>
      </c>
      <c r="C13" s="324"/>
      <c r="D13" s="325" t="s">
        <v>91</v>
      </c>
      <c r="E13" s="325"/>
      <c r="F13" s="2"/>
      <c r="G13" s="339" t="s">
        <v>464</v>
      </c>
      <c r="H13" s="340"/>
      <c r="I13" s="340"/>
      <c r="J13" s="340"/>
      <c r="K13" s="340"/>
      <c r="L13" s="340"/>
      <c r="M13" s="340"/>
      <c r="N13" s="340"/>
      <c r="O13" s="341"/>
      <c r="P13" s="2"/>
      <c r="Q13" s="2"/>
      <c r="R13" s="2"/>
      <c r="S13" s="2"/>
      <c r="T13" s="2"/>
      <c r="U13" s="2"/>
      <c r="V13" s="2"/>
      <c r="W13" s="2"/>
      <c r="X13" s="2"/>
      <c r="Y13" s="2"/>
    </row>
    <row r="14" spans="1:25" x14ac:dyDescent="0.25">
      <c r="A14" s="2"/>
      <c r="B14" s="324" t="s">
        <v>52</v>
      </c>
      <c r="C14" s="324"/>
      <c r="D14" s="325" t="s">
        <v>97</v>
      </c>
      <c r="E14" s="325"/>
      <c r="F14" s="2"/>
      <c r="G14" s="339"/>
      <c r="H14" s="340"/>
      <c r="I14" s="340"/>
      <c r="J14" s="340"/>
      <c r="K14" s="340"/>
      <c r="L14" s="340"/>
      <c r="M14" s="340"/>
      <c r="N14" s="340"/>
      <c r="O14" s="341"/>
      <c r="P14" s="2"/>
      <c r="Q14" s="2"/>
      <c r="R14" s="2"/>
      <c r="S14" s="2"/>
      <c r="T14" s="2"/>
      <c r="U14" s="2"/>
      <c r="V14" s="2"/>
      <c r="W14" s="2"/>
      <c r="X14" s="2"/>
      <c r="Y14" s="2"/>
    </row>
    <row r="15" spans="1:25" x14ac:dyDescent="0.25">
      <c r="A15" s="2"/>
      <c r="B15" s="324" t="s">
        <v>53</v>
      </c>
      <c r="C15" s="324"/>
      <c r="D15" s="325" t="s">
        <v>466</v>
      </c>
      <c r="E15" s="325"/>
      <c r="F15" s="2"/>
      <c r="G15" s="339"/>
      <c r="H15" s="340"/>
      <c r="I15" s="340"/>
      <c r="J15" s="340"/>
      <c r="K15" s="340"/>
      <c r="L15" s="340"/>
      <c r="M15" s="340"/>
      <c r="N15" s="340"/>
      <c r="O15" s="341"/>
      <c r="P15" s="2"/>
      <c r="Q15" s="2"/>
      <c r="R15" s="2"/>
      <c r="S15" s="2"/>
      <c r="T15" s="2"/>
      <c r="U15" s="2"/>
      <c r="V15" s="2"/>
      <c r="W15" s="2"/>
      <c r="X15" s="2"/>
      <c r="Y15" s="2"/>
    </row>
    <row r="16" spans="1:25" x14ac:dyDescent="0.25">
      <c r="A16" s="2"/>
      <c r="B16" s="324" t="s">
        <v>54</v>
      </c>
      <c r="C16" s="324"/>
      <c r="D16" s="325" t="s">
        <v>93</v>
      </c>
      <c r="E16" s="325"/>
      <c r="F16" s="2"/>
      <c r="G16" s="339"/>
      <c r="H16" s="340"/>
      <c r="I16" s="340"/>
      <c r="J16" s="340"/>
      <c r="K16" s="340"/>
      <c r="L16" s="340"/>
      <c r="M16" s="340"/>
      <c r="N16" s="340"/>
      <c r="O16" s="341"/>
      <c r="P16" s="2"/>
      <c r="Q16" s="2"/>
      <c r="R16" s="2"/>
      <c r="S16" s="2"/>
      <c r="T16" s="2"/>
      <c r="U16" s="2"/>
      <c r="V16" s="2"/>
      <c r="W16" s="2"/>
      <c r="X16" s="2"/>
      <c r="Y16" s="2"/>
    </row>
    <row r="17" spans="1:25" ht="23.45" customHeight="1" x14ac:dyDescent="0.25">
      <c r="A17" s="2"/>
      <c r="B17" s="343" t="s">
        <v>55</v>
      </c>
      <c r="C17" s="344"/>
      <c r="D17" s="345"/>
      <c r="E17" s="345"/>
      <c r="F17" s="2"/>
      <c r="G17" s="38" t="s">
        <v>535</v>
      </c>
      <c r="H17" s="39"/>
      <c r="I17" s="39"/>
      <c r="J17" s="39"/>
      <c r="K17" s="39"/>
      <c r="L17" s="39"/>
      <c r="M17" s="39"/>
      <c r="N17" s="39"/>
      <c r="O17" s="40"/>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1"/>
      <c r="B20" s="332" t="s">
        <v>56</v>
      </c>
      <c r="C20" s="333"/>
      <c r="D20" s="333"/>
      <c r="E20" s="333"/>
      <c r="F20" s="333"/>
      <c r="G20" s="333"/>
      <c r="H20" s="333"/>
      <c r="I20" s="333"/>
      <c r="J20" s="333"/>
      <c r="K20" s="333"/>
      <c r="L20" s="333"/>
      <c r="M20" s="333"/>
      <c r="N20" s="333"/>
      <c r="O20" s="333"/>
      <c r="P20" s="334"/>
      <c r="Q20" s="31"/>
      <c r="R20" s="31"/>
      <c r="S20" s="31"/>
      <c r="T20" s="31"/>
      <c r="U20" s="31"/>
      <c r="V20" s="31"/>
      <c r="W20" s="31"/>
      <c r="X20" s="31"/>
      <c r="Y20" s="31"/>
    </row>
    <row r="21" spans="1:25" x14ac:dyDescent="0.25">
      <c r="A21" s="2"/>
      <c r="B21" s="9"/>
      <c r="C21" s="2"/>
      <c r="D21" s="2"/>
      <c r="E21" s="2"/>
      <c r="F21" s="2"/>
      <c r="G21" s="41" t="s">
        <v>57</v>
      </c>
      <c r="H21" s="2"/>
      <c r="I21" s="2"/>
      <c r="J21" s="2"/>
      <c r="K21" s="2"/>
      <c r="L21" s="2"/>
      <c r="M21" s="2"/>
      <c r="N21" s="2"/>
      <c r="O21" s="2"/>
      <c r="P21" s="2"/>
      <c r="Q21" s="2"/>
      <c r="R21" s="2"/>
      <c r="S21" s="2"/>
      <c r="T21" s="2"/>
      <c r="U21" s="2"/>
      <c r="V21" s="2"/>
      <c r="W21" s="2"/>
      <c r="X21" s="2"/>
      <c r="Y21" s="2"/>
    </row>
    <row r="22" spans="1:25" x14ac:dyDescent="0.25">
      <c r="A22" s="2"/>
      <c r="B22" s="9"/>
      <c r="C22" s="42" t="s">
        <v>58</v>
      </c>
      <c r="D22" s="42" t="s">
        <v>59</v>
      </c>
      <c r="E22" s="42" t="s">
        <v>60</v>
      </c>
      <c r="F22" s="42" t="s">
        <v>61</v>
      </c>
      <c r="G22" s="42" t="s">
        <v>62</v>
      </c>
      <c r="H22" s="42" t="s">
        <v>63</v>
      </c>
      <c r="I22" s="42" t="s">
        <v>64</v>
      </c>
      <c r="J22" s="346" t="s">
        <v>65</v>
      </c>
      <c r="K22" s="347"/>
      <c r="L22" s="347"/>
      <c r="M22" s="347"/>
      <c r="N22" s="347"/>
      <c r="O22" s="347"/>
      <c r="P22" s="348"/>
      <c r="Q22" s="2"/>
      <c r="R22" s="2"/>
      <c r="S22" s="2"/>
      <c r="T22" s="2"/>
      <c r="U22" s="2"/>
      <c r="V22" s="2"/>
      <c r="W22" s="2"/>
      <c r="X22" s="2"/>
      <c r="Y22" s="2"/>
    </row>
    <row r="23" spans="1:25" x14ac:dyDescent="0.25">
      <c r="A23" s="2"/>
      <c r="B23" s="17">
        <f t="shared" ref="B23:B136" si="0">LEN(C23)</f>
        <v>6</v>
      </c>
      <c r="C23" s="43" t="str">
        <f>material_input_output!J19&amp;"_out"</f>
        <v>Ce_out</v>
      </c>
      <c r="D23" s="44"/>
      <c r="E23" s="45">
        <v>0</v>
      </c>
      <c r="F23" s="46"/>
      <c r="G23" s="47"/>
      <c r="H23" s="48" t="s">
        <v>531</v>
      </c>
      <c r="I23" s="46"/>
      <c r="J23" s="321" t="s">
        <v>432</v>
      </c>
      <c r="K23" s="322"/>
      <c r="L23" s="322"/>
      <c r="M23" s="322"/>
      <c r="N23" s="322"/>
      <c r="O23" s="322"/>
      <c r="P23" s="323"/>
      <c r="Q23" s="2"/>
      <c r="R23" s="2"/>
      <c r="S23" s="2"/>
      <c r="T23" s="2"/>
      <c r="U23" s="2"/>
      <c r="V23" s="2"/>
      <c r="W23" s="2"/>
      <c r="X23" s="2"/>
      <c r="Y23" s="2"/>
    </row>
    <row r="24" spans="1:25" x14ac:dyDescent="0.25">
      <c r="A24" s="2"/>
      <c r="B24" s="17">
        <f t="shared" si="0"/>
        <v>6</v>
      </c>
      <c r="C24" s="43" t="str">
        <f>material_input_output!J20&amp;"_out"</f>
        <v>La_out</v>
      </c>
      <c r="D24" s="44"/>
      <c r="E24" s="45">
        <v>0</v>
      </c>
      <c r="F24" s="46"/>
      <c r="G24" s="47"/>
      <c r="H24" s="48" t="s">
        <v>531</v>
      </c>
      <c r="I24" s="46"/>
      <c r="J24" s="321" t="s">
        <v>433</v>
      </c>
      <c r="K24" s="322"/>
      <c r="L24" s="322"/>
      <c r="M24" s="322"/>
      <c r="N24" s="322"/>
      <c r="O24" s="322"/>
      <c r="P24" s="323"/>
      <c r="Q24" s="2"/>
      <c r="R24" s="2"/>
      <c r="S24" s="2"/>
      <c r="T24" s="2"/>
      <c r="U24" s="2"/>
      <c r="V24" s="2"/>
      <c r="W24" s="2"/>
      <c r="X24" s="2"/>
      <c r="Y24" s="2"/>
    </row>
    <row r="25" spans="1:25" x14ac:dyDescent="0.25">
      <c r="A25" s="2"/>
      <c r="B25" s="17">
        <f t="shared" si="0"/>
        <v>6</v>
      </c>
      <c r="C25" s="43" t="str">
        <f>material_input_output!J21&amp;"_out"</f>
        <v>Pr_out</v>
      </c>
      <c r="D25" s="44"/>
      <c r="E25" s="45">
        <v>0</v>
      </c>
      <c r="F25" s="46"/>
      <c r="G25" s="47"/>
      <c r="H25" s="48" t="s">
        <v>531</v>
      </c>
      <c r="I25" s="46"/>
      <c r="J25" s="321" t="s">
        <v>434</v>
      </c>
      <c r="K25" s="322"/>
      <c r="L25" s="322"/>
      <c r="M25" s="322"/>
      <c r="N25" s="322"/>
      <c r="O25" s="322"/>
      <c r="P25" s="323"/>
      <c r="Q25" s="2"/>
      <c r="R25" s="2"/>
      <c r="S25" s="2"/>
      <c r="T25" s="2"/>
      <c r="U25" s="2"/>
      <c r="V25" s="2"/>
      <c r="W25" s="2"/>
      <c r="X25" s="2"/>
      <c r="Y25" s="2"/>
    </row>
    <row r="26" spans="1:25" x14ac:dyDescent="0.25">
      <c r="A26" s="2"/>
      <c r="B26" s="17">
        <f t="shared" si="0"/>
        <v>6</v>
      </c>
      <c r="C26" s="43" t="str">
        <f>material_input_output!J22&amp;"_out"</f>
        <v>Nd_out</v>
      </c>
      <c r="D26" s="44"/>
      <c r="E26" s="45">
        <v>0</v>
      </c>
      <c r="F26" s="46"/>
      <c r="G26" s="47"/>
      <c r="H26" s="48" t="s">
        <v>531</v>
      </c>
      <c r="I26" s="46"/>
      <c r="J26" s="321" t="s">
        <v>435</v>
      </c>
      <c r="K26" s="322"/>
      <c r="L26" s="322"/>
      <c r="M26" s="322"/>
      <c r="N26" s="322"/>
      <c r="O26" s="322"/>
      <c r="P26" s="323"/>
      <c r="Q26" s="2"/>
      <c r="R26" s="2"/>
      <c r="S26" s="2"/>
      <c r="T26" s="2"/>
      <c r="U26" s="2"/>
      <c r="V26" s="2"/>
      <c r="W26" s="2"/>
      <c r="X26" s="2"/>
      <c r="Y26" s="2"/>
    </row>
    <row r="27" spans="1:25" x14ac:dyDescent="0.25">
      <c r="A27" s="2"/>
      <c r="B27" s="17">
        <f t="shared" si="0"/>
        <v>6</v>
      </c>
      <c r="C27" s="43" t="str">
        <f>material_input_output!J23&amp;"_out"</f>
        <v>Sm_out</v>
      </c>
      <c r="D27" s="44"/>
      <c r="E27" s="45">
        <v>0</v>
      </c>
      <c r="F27" s="46"/>
      <c r="G27" s="47"/>
      <c r="H27" s="48" t="s">
        <v>531</v>
      </c>
      <c r="I27" s="46"/>
      <c r="J27" s="321" t="s">
        <v>436</v>
      </c>
      <c r="K27" s="322"/>
      <c r="L27" s="322"/>
      <c r="M27" s="322"/>
      <c r="N27" s="322"/>
      <c r="O27" s="322"/>
      <c r="P27" s="323"/>
      <c r="Q27" s="2"/>
      <c r="R27" s="2"/>
      <c r="S27" s="2"/>
      <c r="T27" s="2"/>
      <c r="U27" s="2"/>
      <c r="V27" s="2"/>
      <c r="W27" s="2"/>
      <c r="X27" s="2"/>
      <c r="Y27" s="2"/>
    </row>
    <row r="28" spans="1:25" x14ac:dyDescent="0.25">
      <c r="A28" s="2"/>
      <c r="B28" s="17">
        <f t="shared" si="0"/>
        <v>6</v>
      </c>
      <c r="C28" s="43" t="str">
        <f>material_input_output!J24&amp;"_out"</f>
        <v>Eu_out</v>
      </c>
      <c r="D28" s="44"/>
      <c r="E28" s="45">
        <v>0</v>
      </c>
      <c r="F28" s="46"/>
      <c r="G28" s="47"/>
      <c r="H28" s="48" t="s">
        <v>531</v>
      </c>
      <c r="I28" s="46"/>
      <c r="J28" s="321" t="s">
        <v>437</v>
      </c>
      <c r="K28" s="322"/>
      <c r="L28" s="322"/>
      <c r="M28" s="322"/>
      <c r="N28" s="322"/>
      <c r="O28" s="322"/>
      <c r="P28" s="323"/>
      <c r="Q28" s="2"/>
      <c r="R28" s="2"/>
      <c r="S28" s="2"/>
      <c r="T28" s="2"/>
      <c r="U28" s="2"/>
      <c r="V28" s="2"/>
      <c r="W28" s="2"/>
      <c r="X28" s="2"/>
      <c r="Y28" s="2"/>
    </row>
    <row r="29" spans="1:25" x14ac:dyDescent="0.25">
      <c r="A29" s="2"/>
      <c r="B29" s="17">
        <f t="shared" si="0"/>
        <v>6</v>
      </c>
      <c r="C29" s="43" t="str">
        <f>material_input_output!J25&amp;"_out"</f>
        <v>Gd_out</v>
      </c>
      <c r="D29" s="44"/>
      <c r="E29" s="45">
        <v>0</v>
      </c>
      <c r="F29" s="46"/>
      <c r="G29" s="47"/>
      <c r="H29" s="48" t="s">
        <v>531</v>
      </c>
      <c r="I29" s="46"/>
      <c r="J29" s="321" t="s">
        <v>438</v>
      </c>
      <c r="K29" s="322"/>
      <c r="L29" s="322"/>
      <c r="M29" s="322"/>
      <c r="N29" s="322"/>
      <c r="O29" s="322"/>
      <c r="P29" s="323"/>
      <c r="Q29" s="2"/>
      <c r="R29" s="2"/>
      <c r="S29" s="2"/>
      <c r="T29" s="2"/>
      <c r="U29" s="2"/>
      <c r="V29" s="2"/>
      <c r="W29" s="2"/>
      <c r="X29" s="2"/>
      <c r="Y29" s="2"/>
    </row>
    <row r="30" spans="1:25" x14ac:dyDescent="0.25">
      <c r="A30" s="2"/>
      <c r="B30" s="17">
        <f t="shared" si="0"/>
        <v>6</v>
      </c>
      <c r="C30" s="43" t="str">
        <f>material_input_output!J26&amp;"_out"</f>
        <v>Tb_out</v>
      </c>
      <c r="D30" s="44"/>
      <c r="E30" s="45">
        <v>0</v>
      </c>
      <c r="F30" s="46"/>
      <c r="G30" s="47"/>
      <c r="H30" s="48" t="s">
        <v>531</v>
      </c>
      <c r="I30" s="46"/>
      <c r="J30" s="321" t="s">
        <v>439</v>
      </c>
      <c r="K30" s="322"/>
      <c r="L30" s="322"/>
      <c r="M30" s="322"/>
      <c r="N30" s="322"/>
      <c r="O30" s="322"/>
      <c r="P30" s="323"/>
      <c r="Q30" s="2"/>
      <c r="R30" s="2"/>
      <c r="S30" s="2"/>
      <c r="T30" s="2"/>
      <c r="U30" s="2"/>
      <c r="V30" s="2"/>
      <c r="W30" s="2"/>
      <c r="X30" s="2"/>
      <c r="Y30" s="2"/>
    </row>
    <row r="31" spans="1:25" x14ac:dyDescent="0.25">
      <c r="A31" s="2"/>
      <c r="B31" s="17">
        <f t="shared" si="0"/>
        <v>6</v>
      </c>
      <c r="C31" s="43" t="str">
        <f>material_input_output!J27&amp;"_out"</f>
        <v>Dy_out</v>
      </c>
      <c r="D31" s="44"/>
      <c r="E31" s="45">
        <v>0</v>
      </c>
      <c r="F31" s="46"/>
      <c r="G31" s="47"/>
      <c r="H31" s="48" t="s">
        <v>531</v>
      </c>
      <c r="I31" s="46"/>
      <c r="J31" s="321" t="s">
        <v>440</v>
      </c>
      <c r="K31" s="322"/>
      <c r="L31" s="322"/>
      <c r="M31" s="322"/>
      <c r="N31" s="322"/>
      <c r="O31" s="322"/>
      <c r="P31" s="323"/>
      <c r="Q31" s="2"/>
      <c r="R31" s="2"/>
      <c r="S31" s="2"/>
      <c r="T31" s="2"/>
      <c r="U31" s="2"/>
      <c r="V31" s="2"/>
      <c r="W31" s="2"/>
      <c r="X31" s="2"/>
      <c r="Y31" s="2"/>
    </row>
    <row r="32" spans="1:25" x14ac:dyDescent="0.25">
      <c r="A32" s="2"/>
      <c r="B32" s="17">
        <f t="shared" si="0"/>
        <v>6</v>
      </c>
      <c r="C32" s="43" t="str">
        <f>material_input_output!J28&amp;"_out"</f>
        <v>Ho_out</v>
      </c>
      <c r="D32" s="44"/>
      <c r="E32" s="45">
        <v>0</v>
      </c>
      <c r="F32" s="46"/>
      <c r="G32" s="47"/>
      <c r="H32" s="48" t="s">
        <v>531</v>
      </c>
      <c r="I32" s="46"/>
      <c r="J32" s="321" t="s">
        <v>441</v>
      </c>
      <c r="K32" s="322"/>
      <c r="L32" s="322"/>
      <c r="M32" s="322"/>
      <c r="N32" s="322"/>
      <c r="O32" s="322"/>
      <c r="P32" s="323"/>
      <c r="Q32" s="2"/>
      <c r="R32" s="2"/>
      <c r="S32" s="2"/>
      <c r="T32" s="2"/>
      <c r="U32" s="2"/>
      <c r="V32" s="2"/>
      <c r="W32" s="2"/>
      <c r="X32" s="2"/>
      <c r="Y32" s="2"/>
    </row>
    <row r="33" spans="1:25" x14ac:dyDescent="0.25">
      <c r="A33" s="2"/>
      <c r="B33" s="17">
        <f t="shared" si="0"/>
        <v>6</v>
      </c>
      <c r="C33" s="43" t="str">
        <f>material_input_output!J29&amp;"_out"</f>
        <v>Er_out</v>
      </c>
      <c r="D33" s="44"/>
      <c r="E33" s="45">
        <v>0</v>
      </c>
      <c r="F33" s="46"/>
      <c r="G33" s="47"/>
      <c r="H33" s="48" t="s">
        <v>531</v>
      </c>
      <c r="I33" s="46"/>
      <c r="J33" s="321" t="s">
        <v>442</v>
      </c>
      <c r="K33" s="322"/>
      <c r="L33" s="322"/>
      <c r="M33" s="322"/>
      <c r="N33" s="322"/>
      <c r="O33" s="322"/>
      <c r="P33" s="323"/>
      <c r="Q33" s="2"/>
      <c r="R33" s="2"/>
      <c r="S33" s="2"/>
      <c r="T33" s="2"/>
      <c r="U33" s="2"/>
      <c r="V33" s="2"/>
      <c r="W33" s="2"/>
      <c r="X33" s="2"/>
      <c r="Y33" s="2"/>
    </row>
    <row r="34" spans="1:25" x14ac:dyDescent="0.25">
      <c r="A34" s="2"/>
      <c r="B34" s="17">
        <f t="shared" si="0"/>
        <v>6</v>
      </c>
      <c r="C34" s="43" t="str">
        <f>material_input_output!J30&amp;"_out"</f>
        <v>Tm_out</v>
      </c>
      <c r="D34" s="44"/>
      <c r="E34" s="45">
        <v>0</v>
      </c>
      <c r="F34" s="46"/>
      <c r="G34" s="47"/>
      <c r="H34" s="48" t="s">
        <v>531</v>
      </c>
      <c r="I34" s="46"/>
      <c r="J34" s="321" t="s">
        <v>443</v>
      </c>
      <c r="K34" s="322"/>
      <c r="L34" s="322"/>
      <c r="M34" s="322"/>
      <c r="N34" s="322"/>
      <c r="O34" s="322"/>
      <c r="P34" s="323"/>
      <c r="Q34" s="2"/>
      <c r="R34" s="2"/>
      <c r="S34" s="2"/>
      <c r="T34" s="2"/>
      <c r="U34" s="2"/>
      <c r="V34" s="2"/>
      <c r="W34" s="2"/>
      <c r="X34" s="2"/>
      <c r="Y34" s="2"/>
    </row>
    <row r="35" spans="1:25" x14ac:dyDescent="0.25">
      <c r="A35" s="2"/>
      <c r="B35" s="17">
        <f t="shared" si="0"/>
        <v>6</v>
      </c>
      <c r="C35" s="43" t="str">
        <f>material_input_output!J31&amp;"_out"</f>
        <v>Yb_out</v>
      </c>
      <c r="D35" s="44"/>
      <c r="E35" s="45">
        <v>0</v>
      </c>
      <c r="F35" s="46"/>
      <c r="G35" s="47"/>
      <c r="H35" s="48" t="s">
        <v>531</v>
      </c>
      <c r="I35" s="46"/>
      <c r="J35" s="321" t="s">
        <v>444</v>
      </c>
      <c r="K35" s="322"/>
      <c r="L35" s="322"/>
      <c r="M35" s="322"/>
      <c r="N35" s="322"/>
      <c r="O35" s="322"/>
      <c r="P35" s="323"/>
      <c r="Q35" s="2"/>
      <c r="R35" s="2"/>
      <c r="S35" s="2"/>
      <c r="T35" s="2"/>
      <c r="U35" s="2"/>
      <c r="V35" s="2"/>
      <c r="W35" s="2"/>
      <c r="X35" s="2"/>
      <c r="Y35" s="2"/>
    </row>
    <row r="36" spans="1:25" x14ac:dyDescent="0.25">
      <c r="A36" s="2"/>
      <c r="B36" s="17">
        <f t="shared" si="0"/>
        <v>6</v>
      </c>
      <c r="C36" s="43" t="str">
        <f>material_input_output!J32&amp;"_out"</f>
        <v>Lu_out</v>
      </c>
      <c r="D36" s="44"/>
      <c r="E36" s="45">
        <v>0</v>
      </c>
      <c r="F36" s="46"/>
      <c r="G36" s="47"/>
      <c r="H36" s="48" t="s">
        <v>531</v>
      </c>
      <c r="I36" s="46"/>
      <c r="J36" s="321" t="s">
        <v>445</v>
      </c>
      <c r="K36" s="322"/>
      <c r="L36" s="322"/>
      <c r="M36" s="322"/>
      <c r="N36" s="322"/>
      <c r="O36" s="322"/>
      <c r="P36" s="323"/>
      <c r="Q36" s="2"/>
      <c r="R36" s="2"/>
      <c r="S36" s="2"/>
      <c r="T36" s="2"/>
      <c r="U36" s="2"/>
      <c r="V36" s="2"/>
      <c r="W36" s="2"/>
      <c r="X36" s="2"/>
      <c r="Y36" s="2"/>
    </row>
    <row r="37" spans="1:25" x14ac:dyDescent="0.25">
      <c r="A37" s="2"/>
      <c r="B37" s="17">
        <f t="shared" si="0"/>
        <v>5</v>
      </c>
      <c r="C37" s="43" t="str">
        <f>material_input_output!J33&amp;"_out"</f>
        <v>Y_out</v>
      </c>
      <c r="D37" s="44"/>
      <c r="E37" s="45">
        <v>1</v>
      </c>
      <c r="F37" s="46"/>
      <c r="G37" s="47"/>
      <c r="H37" s="48" t="s">
        <v>531</v>
      </c>
      <c r="I37" s="46"/>
      <c r="J37" s="321" t="s">
        <v>446</v>
      </c>
      <c r="K37" s="322"/>
      <c r="L37" s="322"/>
      <c r="M37" s="322"/>
      <c r="N37" s="322"/>
      <c r="O37" s="322"/>
      <c r="P37" s="323"/>
      <c r="Q37" s="2"/>
      <c r="R37" s="2"/>
      <c r="S37" s="2"/>
      <c r="T37" s="2"/>
      <c r="U37" s="2"/>
      <c r="V37" s="2"/>
      <c r="W37" s="2"/>
      <c r="X37" s="2"/>
      <c r="Y37" s="2"/>
    </row>
    <row r="38" spans="1:25" x14ac:dyDescent="0.25">
      <c r="A38" s="2"/>
      <c r="B38" s="17">
        <f t="shared" si="0"/>
        <v>14</v>
      </c>
      <c r="C38" s="43" t="str">
        <f>material_input_output!J19&amp;"_oxalic_acid"</f>
        <v>Ce_oxalic_acid</v>
      </c>
      <c r="D38" s="44"/>
      <c r="E38" s="92">
        <f>material_input_output!E64</f>
        <v>0.3808939971460375</v>
      </c>
      <c r="F38" s="46"/>
      <c r="G38" s="47"/>
      <c r="H38" s="48" t="s">
        <v>426</v>
      </c>
      <c r="I38" s="46">
        <v>1</v>
      </c>
      <c r="J38" s="321" t="str">
        <f>"[kg/kg] kg of oxalic acid to react with "&amp;material_input_output!J19&amp;" chloride per kg of rare earth chloride"</f>
        <v>[kg/kg] kg of oxalic acid to react with Ce chloride per kg of rare earth chloride</v>
      </c>
      <c r="K38" s="322"/>
      <c r="L38" s="322"/>
      <c r="M38" s="322"/>
      <c r="N38" s="322"/>
      <c r="O38" s="322"/>
      <c r="P38" s="323"/>
      <c r="Q38" s="2"/>
      <c r="R38" s="2"/>
      <c r="S38" s="2"/>
      <c r="T38" s="2"/>
      <c r="U38" s="2"/>
      <c r="V38" s="2"/>
      <c r="W38" s="2"/>
      <c r="X38" s="2"/>
      <c r="Y38" s="2"/>
    </row>
    <row r="39" spans="1:25" x14ac:dyDescent="0.25">
      <c r="A39" s="2"/>
      <c r="B39" s="17">
        <f t="shared" si="0"/>
        <v>14</v>
      </c>
      <c r="C39" s="43" t="str">
        <f>material_input_output!J20&amp;"_oxalic_acid"</f>
        <v>La_oxalic_acid</v>
      </c>
      <c r="D39" s="44"/>
      <c r="E39" s="92">
        <f>material_input_output!E65</f>
        <v>0.38219886649772467</v>
      </c>
      <c r="F39" s="46"/>
      <c r="G39" s="47"/>
      <c r="H39" s="48" t="s">
        <v>426</v>
      </c>
      <c r="I39" s="46">
        <v>1</v>
      </c>
      <c r="J39" s="321" t="str">
        <f>"[kg/kg] kg of oxalic acid to react with "&amp;material_input_output!J20&amp;" chloride per kg of rare earth chloride"</f>
        <v>[kg/kg] kg of oxalic acid to react with La chloride per kg of rare earth chloride</v>
      </c>
      <c r="K39" s="322"/>
      <c r="L39" s="322"/>
      <c r="M39" s="322"/>
      <c r="N39" s="322"/>
      <c r="O39" s="322"/>
      <c r="P39" s="323"/>
      <c r="Q39" s="2"/>
      <c r="R39" s="2"/>
      <c r="S39" s="2"/>
      <c r="T39" s="2"/>
      <c r="U39" s="2"/>
      <c r="V39" s="2"/>
      <c r="W39" s="2"/>
      <c r="X39" s="2"/>
      <c r="Y39" s="2"/>
    </row>
    <row r="40" spans="1:25" x14ac:dyDescent="0.25">
      <c r="A40" s="2"/>
      <c r="B40" s="17">
        <f t="shared" si="0"/>
        <v>14</v>
      </c>
      <c r="C40" s="43" t="str">
        <f>material_input_output!J21&amp;"_oxalic_acid"</f>
        <v>Pr_oxalic_acid</v>
      </c>
      <c r="D40" s="44"/>
      <c r="E40" s="92">
        <f>material_input_output!E66</f>
        <v>0.38004546002903605</v>
      </c>
      <c r="F40" s="46"/>
      <c r="G40" s="47"/>
      <c r="H40" s="48" t="s">
        <v>426</v>
      </c>
      <c r="I40" s="46">
        <v>1</v>
      </c>
      <c r="J40" s="321" t="str">
        <f>"[kg/kg] kg of oxalic acid to react with "&amp;material_input_output!J21&amp;" chloride per kg of rare earth chloride"</f>
        <v>[kg/kg] kg of oxalic acid to react with Pr chloride per kg of rare earth chloride</v>
      </c>
      <c r="K40" s="322"/>
      <c r="L40" s="322"/>
      <c r="M40" s="322"/>
      <c r="N40" s="322"/>
      <c r="O40" s="322"/>
      <c r="P40" s="323"/>
      <c r="Q40" s="2"/>
      <c r="R40" s="2"/>
      <c r="S40" s="2"/>
      <c r="T40" s="2"/>
      <c r="U40" s="2"/>
      <c r="V40" s="2"/>
      <c r="W40" s="2"/>
      <c r="X40" s="2"/>
      <c r="Y40" s="2"/>
    </row>
    <row r="41" spans="1:25" x14ac:dyDescent="0.25">
      <c r="A41" s="2"/>
      <c r="B41" s="17">
        <f t="shared" si="0"/>
        <v>14</v>
      </c>
      <c r="C41" s="43" t="str">
        <f>material_input_output!J22&amp;"_oxalic_acid"</f>
        <v>Nd_oxalic_acid</v>
      </c>
      <c r="D41" s="44"/>
      <c r="E41" s="92">
        <f>material_input_output!E67</f>
        <v>0.37651261798818986</v>
      </c>
      <c r="F41" s="46"/>
      <c r="G41" s="47"/>
      <c r="H41" s="48" t="s">
        <v>426</v>
      </c>
      <c r="I41" s="46">
        <v>1</v>
      </c>
      <c r="J41" s="321" t="str">
        <f>"[kg/kg] kg of oxalic acid to react with "&amp;material_input_output!J22&amp;" chloride per kg of rare earth chloride"</f>
        <v>[kg/kg] kg of oxalic acid to react with Nd chloride per kg of rare earth chloride</v>
      </c>
      <c r="K41" s="322"/>
      <c r="L41" s="322"/>
      <c r="M41" s="322"/>
      <c r="N41" s="322"/>
      <c r="O41" s="322"/>
      <c r="P41" s="323"/>
      <c r="Q41" s="2"/>
      <c r="R41" s="2"/>
      <c r="S41" s="2"/>
      <c r="T41" s="2"/>
      <c r="U41" s="2"/>
      <c r="V41" s="2"/>
      <c r="W41" s="2"/>
      <c r="X41" s="2"/>
      <c r="Y41" s="2"/>
    </row>
    <row r="42" spans="1:25" x14ac:dyDescent="0.25">
      <c r="A42" s="2"/>
      <c r="B42" s="17">
        <f t="shared" si="0"/>
        <v>14</v>
      </c>
      <c r="C42" s="43" t="str">
        <f>material_input_output!J23&amp;"_oxalic_acid"</f>
        <v>Sm_oxalic_acid</v>
      </c>
      <c r="D42" s="44"/>
      <c r="E42" s="92">
        <f>material_input_output!E68</f>
        <v>0.37019837248185822</v>
      </c>
      <c r="F42" s="46"/>
      <c r="G42" s="47"/>
      <c r="H42" s="48" t="s">
        <v>426</v>
      </c>
      <c r="I42" s="46">
        <v>1</v>
      </c>
      <c r="J42" s="321" t="str">
        <f>"[kg/kg] kg of oxalic acid to react with "&amp;material_input_output!J23&amp;" chloride per kg of rare earth chloride"</f>
        <v>[kg/kg] kg of oxalic acid to react with Sm chloride per kg of rare earth chloride</v>
      </c>
      <c r="K42" s="322"/>
      <c r="L42" s="322"/>
      <c r="M42" s="322"/>
      <c r="N42" s="322"/>
      <c r="O42" s="322"/>
      <c r="P42" s="323"/>
      <c r="Q42" s="2"/>
      <c r="R42" s="2"/>
      <c r="S42" s="2"/>
      <c r="T42" s="2"/>
      <c r="U42" s="2"/>
      <c r="V42" s="2"/>
      <c r="W42" s="2"/>
      <c r="X42" s="2"/>
      <c r="Y42" s="2"/>
    </row>
    <row r="43" spans="1:25" x14ac:dyDescent="0.25">
      <c r="A43" s="2"/>
      <c r="B43" s="17">
        <f t="shared" si="0"/>
        <v>14</v>
      </c>
      <c r="C43" s="43" t="str">
        <f>material_input_output!J24&amp;"_oxalic_acid"</f>
        <v>Eu_oxalic_acid</v>
      </c>
      <c r="D43" s="44"/>
      <c r="E43" s="92">
        <f>material_input_output!E69</f>
        <v>0.36857780916419614</v>
      </c>
      <c r="F43" s="46"/>
      <c r="G43" s="47"/>
      <c r="H43" s="48" t="s">
        <v>426</v>
      </c>
      <c r="I43" s="46">
        <v>1</v>
      </c>
      <c r="J43" s="321" t="str">
        <f>"[kg/kg] kg of oxalic acid to react with "&amp;material_input_output!J24&amp;" chloride per kg of rare earth chloride"</f>
        <v>[kg/kg] kg of oxalic acid to react with Eu chloride per kg of rare earth chloride</v>
      </c>
      <c r="K43" s="322"/>
      <c r="L43" s="322"/>
      <c r="M43" s="322"/>
      <c r="N43" s="322"/>
      <c r="O43" s="322"/>
      <c r="P43" s="323"/>
      <c r="Q43" s="2"/>
      <c r="R43" s="2"/>
      <c r="S43" s="2"/>
      <c r="T43" s="2"/>
      <c r="U43" s="2"/>
      <c r="V43" s="2"/>
      <c r="W43" s="2"/>
      <c r="X43" s="2"/>
      <c r="Y43" s="2"/>
    </row>
    <row r="44" spans="1:25" x14ac:dyDescent="0.25">
      <c r="A44" s="2"/>
      <c r="B44" s="17">
        <f t="shared" si="0"/>
        <v>14</v>
      </c>
      <c r="C44" s="43" t="str">
        <f>material_input_output!J25&amp;"_oxalic_acid"</f>
        <v>Gd_oxalic_acid</v>
      </c>
      <c r="D44" s="44"/>
      <c r="E44" s="92">
        <f>material_input_output!E70</f>
        <v>0.36333621988531195</v>
      </c>
      <c r="F44" s="46"/>
      <c r="G44" s="47"/>
      <c r="H44" s="48" t="s">
        <v>426</v>
      </c>
      <c r="I44" s="46">
        <v>1</v>
      </c>
      <c r="J44" s="321" t="str">
        <f>"[kg/kg] kg of oxalic acid to react with "&amp;material_input_output!J25&amp;" chloride per kg of rare earth chloride"</f>
        <v>[kg/kg] kg of oxalic acid to react with Gd chloride per kg of rare earth chloride</v>
      </c>
      <c r="K44" s="322"/>
      <c r="L44" s="322"/>
      <c r="M44" s="322"/>
      <c r="N44" s="322"/>
      <c r="O44" s="322"/>
      <c r="P44" s="323"/>
      <c r="Q44" s="2"/>
      <c r="R44" s="2"/>
      <c r="S44" s="2"/>
      <c r="T44" s="2"/>
      <c r="U44" s="2"/>
      <c r="V44" s="2"/>
      <c r="W44" s="2"/>
      <c r="X44" s="2"/>
      <c r="Y44" s="2"/>
    </row>
    <row r="45" spans="1:25" x14ac:dyDescent="0.25">
      <c r="A45" s="2"/>
      <c r="B45" s="17">
        <f t="shared" si="0"/>
        <v>14</v>
      </c>
      <c r="C45" s="43" t="str">
        <f>material_input_output!J26&amp;"_oxalic_acid"</f>
        <v>Tb_oxalic_acid</v>
      </c>
      <c r="D45" s="44"/>
      <c r="E45" s="92">
        <f>material_input_output!E71</f>
        <v>0.36170591882933673</v>
      </c>
      <c r="F45" s="46"/>
      <c r="G45" s="47"/>
      <c r="H45" s="48" t="s">
        <v>426</v>
      </c>
      <c r="I45" s="46">
        <v>1</v>
      </c>
      <c r="J45" s="321" t="str">
        <f>"[kg/kg] kg of oxalic acid to react with "&amp;material_input_output!J26&amp;" chloride per kg of rare earth chloride"</f>
        <v>[kg/kg] kg of oxalic acid to react with Tb chloride per kg of rare earth chloride</v>
      </c>
      <c r="K45" s="322"/>
      <c r="L45" s="322"/>
      <c r="M45" s="322"/>
      <c r="N45" s="322"/>
      <c r="O45" s="322"/>
      <c r="P45" s="323"/>
      <c r="Q45" s="2"/>
      <c r="R45" s="2"/>
      <c r="S45" s="2"/>
      <c r="T45" s="2"/>
      <c r="U45" s="2"/>
      <c r="V45" s="2"/>
      <c r="W45" s="2"/>
      <c r="X45" s="2"/>
      <c r="Y45" s="2"/>
    </row>
    <row r="46" spans="1:25" x14ac:dyDescent="0.25">
      <c r="A46" s="2"/>
      <c r="B46" s="17">
        <f t="shared" si="0"/>
        <v>14</v>
      </c>
      <c r="C46" s="43" t="str">
        <f>material_input_output!J27&amp;"_oxalic_acid"</f>
        <v>Dy_oxalic_acid</v>
      </c>
      <c r="D46" s="44"/>
      <c r="E46" s="92">
        <f>material_input_output!E72</f>
        <v>0.35827583597939122</v>
      </c>
      <c r="F46" s="46"/>
      <c r="G46" s="47"/>
      <c r="H46" s="48" t="s">
        <v>426</v>
      </c>
      <c r="I46" s="46">
        <v>1</v>
      </c>
      <c r="J46" s="321" t="str">
        <f>"[kg/kg] kg of oxalic acid to react with "&amp;material_input_output!J27&amp;" chloride per kg of rare earth chloride"</f>
        <v>[kg/kg] kg of oxalic acid to react with Dy chloride per kg of rare earth chloride</v>
      </c>
      <c r="K46" s="322"/>
      <c r="L46" s="322"/>
      <c r="M46" s="322"/>
      <c r="N46" s="322"/>
      <c r="O46" s="322"/>
      <c r="P46" s="323"/>
      <c r="Q46" s="2"/>
      <c r="R46" s="2"/>
      <c r="S46" s="2"/>
      <c r="T46" s="2"/>
      <c r="U46" s="2"/>
      <c r="V46" s="2"/>
      <c r="W46" s="2"/>
      <c r="X46" s="2"/>
      <c r="Y46" s="2"/>
    </row>
    <row r="47" spans="1:25" x14ac:dyDescent="0.25">
      <c r="A47" s="2"/>
      <c r="B47" s="17">
        <f t="shared" si="0"/>
        <v>14</v>
      </c>
      <c r="C47" s="43" t="str">
        <f>material_input_output!J28&amp;"_oxalic_acid"</f>
        <v>Ho_oxalic_acid</v>
      </c>
      <c r="D47" s="44"/>
      <c r="E47" s="92">
        <f>material_input_output!E73</f>
        <v>0.35598071595572794</v>
      </c>
      <c r="F47" s="46"/>
      <c r="G47" s="47"/>
      <c r="H47" s="48" t="s">
        <v>426</v>
      </c>
      <c r="I47" s="46">
        <v>1</v>
      </c>
      <c r="J47" s="321" t="str">
        <f>"[kg/kg] kg of oxalic acid to react with "&amp;material_input_output!J28&amp;" chloride per kg of rare earth chloride"</f>
        <v>[kg/kg] kg of oxalic acid to react with Ho chloride per kg of rare earth chloride</v>
      </c>
      <c r="K47" s="322"/>
      <c r="L47" s="322"/>
      <c r="M47" s="322"/>
      <c r="N47" s="322"/>
      <c r="O47" s="322"/>
      <c r="P47" s="323"/>
      <c r="Q47" s="2"/>
      <c r="R47" s="2"/>
      <c r="S47" s="2"/>
      <c r="T47" s="2"/>
      <c r="U47" s="2"/>
      <c r="V47" s="2"/>
      <c r="W47" s="2"/>
      <c r="X47" s="2"/>
      <c r="Y47" s="2"/>
    </row>
    <row r="48" spans="1:25" x14ac:dyDescent="0.25">
      <c r="A48" s="2"/>
      <c r="B48" s="17">
        <f t="shared" si="0"/>
        <v>14</v>
      </c>
      <c r="C48" s="43" t="str">
        <f>material_input_output!J29&amp;"_oxalic_acid"</f>
        <v>Er_oxalic_acid</v>
      </c>
      <c r="D48" s="44"/>
      <c r="E48" s="92">
        <f>material_input_output!E74</f>
        <v>0.3538089995517012</v>
      </c>
      <c r="F48" s="46"/>
      <c r="G48" s="47"/>
      <c r="H48" s="48" t="s">
        <v>426</v>
      </c>
      <c r="I48" s="46">
        <v>1</v>
      </c>
      <c r="J48" s="321" t="str">
        <f>"[kg/kg] kg of oxalic acid to react with "&amp;material_input_output!J29&amp;" chloride per kg of rare earth chloride"</f>
        <v>[kg/kg] kg of oxalic acid to react with Er chloride per kg of rare earth chloride</v>
      </c>
      <c r="K48" s="322"/>
      <c r="L48" s="322"/>
      <c r="M48" s="322"/>
      <c r="N48" s="322"/>
      <c r="O48" s="322"/>
      <c r="P48" s="323"/>
      <c r="Q48" s="2"/>
      <c r="R48" s="2"/>
      <c r="S48" s="2"/>
      <c r="T48" s="2"/>
      <c r="U48" s="2"/>
      <c r="V48" s="2"/>
      <c r="W48" s="2"/>
      <c r="X48" s="2"/>
      <c r="Y48" s="2"/>
    </row>
    <row r="49" spans="1:25" x14ac:dyDescent="0.25">
      <c r="A49" s="2"/>
      <c r="B49" s="17">
        <f t="shared" si="0"/>
        <v>14</v>
      </c>
      <c r="C49" s="43" t="str">
        <f>material_input_output!J30&amp;"_oxalic_acid"</f>
        <v>Tm_oxalic_acid</v>
      </c>
      <c r="D49" s="44"/>
      <c r="E49" s="92">
        <f>material_input_output!E75</f>
        <v>0.35226302215509847</v>
      </c>
      <c r="F49" s="46"/>
      <c r="G49" s="47"/>
      <c r="H49" s="48" t="s">
        <v>426</v>
      </c>
      <c r="I49" s="46">
        <v>1</v>
      </c>
      <c r="J49" s="321" t="str">
        <f>"[kg/kg] kg of oxalic acid to react with "&amp;material_input_output!J30&amp;" chloride per kg of rare earth chloride"</f>
        <v>[kg/kg] kg of oxalic acid to react with Tm chloride per kg of rare earth chloride</v>
      </c>
      <c r="K49" s="322"/>
      <c r="L49" s="322"/>
      <c r="M49" s="322"/>
      <c r="N49" s="322"/>
      <c r="O49" s="322"/>
      <c r="P49" s="323"/>
      <c r="Q49" s="2"/>
      <c r="R49" s="2"/>
      <c r="S49" s="2"/>
      <c r="T49" s="2"/>
      <c r="U49" s="2"/>
      <c r="V49" s="2"/>
      <c r="W49" s="2"/>
      <c r="X49" s="2"/>
      <c r="Y49" s="2"/>
    </row>
    <row r="50" spans="1:25" x14ac:dyDescent="0.25">
      <c r="A50" s="2"/>
      <c r="B50" s="17">
        <f t="shared" si="0"/>
        <v>14</v>
      </c>
      <c r="C50" s="43" t="str">
        <f>material_input_output!J31&amp;"_oxalic_acid"</f>
        <v>Yb_oxalic_acid</v>
      </c>
      <c r="D50" s="44"/>
      <c r="E50" s="92">
        <f>material_input_output!E76</f>
        <v>0.34853049884967557</v>
      </c>
      <c r="F50" s="46"/>
      <c r="G50" s="47"/>
      <c r="H50" s="48" t="s">
        <v>426</v>
      </c>
      <c r="I50" s="46">
        <v>1</v>
      </c>
      <c r="J50" s="321" t="str">
        <f>"[kg/kg] kg of oxalic acid to react with "&amp;material_input_output!J31&amp;" chloride per kg of rare earth chloride"</f>
        <v>[kg/kg] kg of oxalic acid to react with Yb chloride per kg of rare earth chloride</v>
      </c>
      <c r="K50" s="322"/>
      <c r="L50" s="322"/>
      <c r="M50" s="322"/>
      <c r="N50" s="322"/>
      <c r="O50" s="322"/>
      <c r="P50" s="323"/>
      <c r="Q50" s="2"/>
      <c r="R50" s="2"/>
      <c r="S50" s="2"/>
      <c r="T50" s="2"/>
      <c r="U50" s="2"/>
      <c r="V50" s="2"/>
      <c r="W50" s="2"/>
      <c r="X50" s="2"/>
      <c r="Y50" s="2"/>
    </row>
    <row r="51" spans="1:25" x14ac:dyDescent="0.25">
      <c r="A51" s="2"/>
      <c r="B51" s="17">
        <f t="shared" si="0"/>
        <v>14</v>
      </c>
      <c r="C51" s="43" t="str">
        <f>material_input_output!J32&amp;"_oxalic_acid"</f>
        <v>Lu_oxalic_acid</v>
      </c>
      <c r="D51" s="44"/>
      <c r="E51" s="92">
        <f>material_input_output!E77</f>
        <v>0.34680582555984613</v>
      </c>
      <c r="F51" s="46"/>
      <c r="G51" s="47"/>
      <c r="H51" s="48" t="s">
        <v>426</v>
      </c>
      <c r="I51" s="46">
        <v>1</v>
      </c>
      <c r="J51" s="321" t="str">
        <f>"[kg/kg] kg of oxalic acid to react with "&amp;material_input_output!J32&amp;" chloride per kg of rare earth chloride"</f>
        <v>[kg/kg] kg of oxalic acid to react with Lu chloride per kg of rare earth chloride</v>
      </c>
      <c r="K51" s="322"/>
      <c r="L51" s="322"/>
      <c r="M51" s="322"/>
      <c r="N51" s="322"/>
      <c r="O51" s="322"/>
      <c r="P51" s="323"/>
      <c r="Q51" s="2"/>
      <c r="R51" s="2"/>
      <c r="S51" s="2"/>
      <c r="T51" s="2"/>
      <c r="U51" s="2"/>
      <c r="V51" s="2"/>
      <c r="W51" s="2"/>
      <c r="X51" s="2"/>
      <c r="Y51" s="2"/>
    </row>
    <row r="52" spans="1:25" x14ac:dyDescent="0.25">
      <c r="A52" s="2"/>
      <c r="B52" s="17">
        <f t="shared" si="0"/>
        <v>13</v>
      </c>
      <c r="C52" s="43" t="str">
        <f>material_input_output!J33&amp;"_oxalic_acid"</f>
        <v>Y_oxalic_acid</v>
      </c>
      <c r="D52" s="44"/>
      <c r="E52" s="92">
        <f>material_input_output!E78</f>
        <v>0.44519338350817766</v>
      </c>
      <c r="F52" s="46"/>
      <c r="G52" s="47"/>
      <c r="H52" s="48" t="s">
        <v>426</v>
      </c>
      <c r="I52" s="46">
        <v>1</v>
      </c>
      <c r="J52" s="321" t="str">
        <f>"[kg/kg] kg of oxalic acid to react with "&amp;material_input_output!J33&amp;" chloride per kg of rare earth chloride"</f>
        <v>[kg/kg] kg of oxalic acid to react with Y chloride per kg of rare earth chloride</v>
      </c>
      <c r="K52" s="322"/>
      <c r="L52" s="322"/>
      <c r="M52" s="322"/>
      <c r="N52" s="322"/>
      <c r="O52" s="322"/>
      <c r="P52" s="323"/>
      <c r="Q52" s="2"/>
      <c r="R52" s="2"/>
      <c r="S52" s="2"/>
      <c r="T52" s="2"/>
      <c r="U52" s="2"/>
      <c r="V52" s="2"/>
      <c r="W52" s="2"/>
      <c r="X52" s="2"/>
      <c r="Y52" s="2"/>
    </row>
    <row r="53" spans="1:25" ht="77.25" x14ac:dyDescent="0.25">
      <c r="A53" s="2"/>
      <c r="B53" s="17">
        <f t="shared" si="0"/>
        <v>11</v>
      </c>
      <c r="C53" s="43" t="s">
        <v>414</v>
      </c>
      <c r="D53" s="44" t="s">
        <v>417</v>
      </c>
      <c r="E53" s="92">
        <f>E38*$E$23+E39*$E$24+E40*$E$25+E41*$E$26+E42*$E$27+E43*$E$28+E44*$E$29+E45*$E$30+E46*$E$31+E47*$E$32+E48*$E$33+E49*$E$34+E50*$E$35+E51*$E$36+E52*$E$37</f>
        <v>0.44519338350817766</v>
      </c>
      <c r="F53" s="46"/>
      <c r="G53" s="47"/>
      <c r="H53" s="48" t="s">
        <v>426</v>
      </c>
      <c r="I53" s="46">
        <v>1</v>
      </c>
      <c r="J53" s="321" t="s">
        <v>457</v>
      </c>
      <c r="K53" s="322"/>
      <c r="L53" s="322"/>
      <c r="M53" s="322"/>
      <c r="N53" s="322"/>
      <c r="O53" s="322"/>
      <c r="P53" s="323"/>
      <c r="Q53" s="2"/>
      <c r="R53" s="2"/>
      <c r="S53" s="2"/>
      <c r="T53" s="2"/>
      <c r="U53" s="2"/>
      <c r="V53" s="2"/>
      <c r="W53" s="2"/>
      <c r="X53" s="2"/>
      <c r="Y53" s="2"/>
    </row>
    <row r="54" spans="1:25" x14ac:dyDescent="0.25">
      <c r="A54" s="2"/>
      <c r="B54" s="17">
        <f t="shared" si="0"/>
        <v>11</v>
      </c>
      <c r="C54" s="43" t="str">
        <f>material_input_output!J19&amp;"_HCl_acid"</f>
        <v>Ce_HCl_acid</v>
      </c>
      <c r="D54" s="44"/>
      <c r="E54" s="92">
        <f>material_input_output!G64</f>
        <v>0.30849717745615579</v>
      </c>
      <c r="F54" s="46"/>
      <c r="G54" s="47"/>
      <c r="H54" s="48" t="s">
        <v>426</v>
      </c>
      <c r="I54" s="46">
        <v>1</v>
      </c>
      <c r="J54" s="321" t="str">
        <f>"[kg/kg] kg of HCl acid produced from "&amp;material_input_output!J19&amp;" reaction per kg of rare earth chloride"</f>
        <v>[kg/kg] kg of HCl acid produced from Ce reaction per kg of rare earth chloride</v>
      </c>
      <c r="K54" s="322"/>
      <c r="L54" s="322"/>
      <c r="M54" s="322"/>
      <c r="N54" s="322"/>
      <c r="O54" s="322"/>
      <c r="P54" s="323"/>
      <c r="Q54" s="2"/>
      <c r="R54" s="2"/>
      <c r="S54" s="2"/>
      <c r="T54" s="2"/>
      <c r="U54" s="2"/>
      <c r="V54" s="2"/>
      <c r="W54" s="2"/>
      <c r="X54" s="2"/>
      <c r="Y54" s="2"/>
    </row>
    <row r="55" spans="1:25" x14ac:dyDescent="0.25">
      <c r="A55" s="2"/>
      <c r="B55" s="17">
        <f t="shared" si="0"/>
        <v>11</v>
      </c>
      <c r="C55" s="43" t="str">
        <f>material_input_output!J20&amp;"_HCl_acid"</f>
        <v>La_HCl_acid</v>
      </c>
      <c r="D55" s="44"/>
      <c r="E55" s="92">
        <f>material_input_output!G65</f>
        <v>0.30955402927046832</v>
      </c>
      <c r="F55" s="46"/>
      <c r="G55" s="47"/>
      <c r="H55" s="48" t="s">
        <v>426</v>
      </c>
      <c r="I55" s="46">
        <v>1</v>
      </c>
      <c r="J55" s="321" t="str">
        <f>"[kg/kg] kg of HCl acid produced from "&amp;material_input_output!J20&amp;" reaction per kg of rare earth chloride"</f>
        <v>[kg/kg] kg of HCl acid produced from La reaction per kg of rare earth chloride</v>
      </c>
      <c r="K55" s="322"/>
      <c r="L55" s="322"/>
      <c r="M55" s="322"/>
      <c r="N55" s="322"/>
      <c r="O55" s="322"/>
      <c r="P55" s="323"/>
      <c r="Q55" s="2"/>
      <c r="R55" s="2"/>
      <c r="S55" s="2"/>
      <c r="T55" s="2"/>
      <c r="U55" s="2"/>
      <c r="V55" s="2"/>
      <c r="W55" s="2"/>
      <c r="X55" s="2"/>
      <c r="Y55" s="2"/>
    </row>
    <row r="56" spans="1:25" x14ac:dyDescent="0.25">
      <c r="A56" s="2"/>
      <c r="B56" s="17">
        <f t="shared" si="0"/>
        <v>11</v>
      </c>
      <c r="C56" s="43" t="str">
        <f>material_input_output!J21&amp;"_HCl_acid"</f>
        <v>Pr_HCl_acid</v>
      </c>
      <c r="D56" s="44"/>
      <c r="E56" s="92">
        <f>material_input_output!G66</f>
        <v>0.30780992245207822</v>
      </c>
      <c r="F56" s="46"/>
      <c r="G56" s="47"/>
      <c r="H56" s="48" t="s">
        <v>426</v>
      </c>
      <c r="I56" s="46">
        <v>1</v>
      </c>
      <c r="J56" s="321" t="str">
        <f>"[kg/kg] kg of HCl acid produced from "&amp;material_input_output!J21&amp;" reaction per kg of rare earth chloride"</f>
        <v>[kg/kg] kg of HCl acid produced from Pr reaction per kg of rare earth chloride</v>
      </c>
      <c r="K56" s="322"/>
      <c r="L56" s="322"/>
      <c r="M56" s="322"/>
      <c r="N56" s="322"/>
      <c r="O56" s="322"/>
      <c r="P56" s="323"/>
      <c r="Q56" s="2"/>
      <c r="R56" s="2"/>
      <c r="S56" s="2"/>
      <c r="T56" s="2"/>
      <c r="U56" s="2"/>
      <c r="V56" s="2"/>
      <c r="W56" s="2"/>
      <c r="X56" s="2"/>
      <c r="Y56" s="2"/>
    </row>
    <row r="57" spans="1:25" x14ac:dyDescent="0.25">
      <c r="A57" s="2"/>
      <c r="B57" s="17">
        <f t="shared" si="0"/>
        <v>11</v>
      </c>
      <c r="C57" s="43" t="str">
        <f>material_input_output!J22&amp;"_HCl_acid"</f>
        <v>Nd_HCl_acid</v>
      </c>
      <c r="D57" s="44"/>
      <c r="E57" s="92">
        <f>material_input_output!G67</f>
        <v>0.30494857045870027</v>
      </c>
      <c r="F57" s="46"/>
      <c r="G57" s="47"/>
      <c r="H57" s="48" t="s">
        <v>426</v>
      </c>
      <c r="I57" s="46">
        <v>1</v>
      </c>
      <c r="J57" s="321" t="str">
        <f>"[kg/kg] kg of HCl acid produced from "&amp;material_input_output!J22&amp;" reaction per kg of rare earth chloride"</f>
        <v>[kg/kg] kg of HCl acid produced from Nd reaction per kg of rare earth chloride</v>
      </c>
      <c r="K57" s="322"/>
      <c r="L57" s="322"/>
      <c r="M57" s="322"/>
      <c r="N57" s="322"/>
      <c r="O57" s="322"/>
      <c r="P57" s="323"/>
      <c r="Q57" s="2"/>
      <c r="R57" s="2"/>
      <c r="S57" s="2"/>
      <c r="T57" s="2"/>
      <c r="U57" s="2"/>
      <c r="V57" s="2"/>
      <c r="W57" s="2"/>
      <c r="X57" s="2"/>
      <c r="Y57" s="2"/>
    </row>
    <row r="58" spans="1:25" x14ac:dyDescent="0.25">
      <c r="A58" s="2"/>
      <c r="B58" s="17">
        <f t="shared" si="0"/>
        <v>11</v>
      </c>
      <c r="C58" s="43" t="str">
        <f>material_input_output!J23&amp;"_HCl_acid"</f>
        <v>Sm_HCl_acid</v>
      </c>
      <c r="D58" s="44"/>
      <c r="E58" s="92">
        <f>material_input_output!G68</f>
        <v>0.29983447853006934</v>
      </c>
      <c r="F58" s="46"/>
      <c r="G58" s="47"/>
      <c r="H58" s="48" t="s">
        <v>426</v>
      </c>
      <c r="I58" s="46">
        <v>1</v>
      </c>
      <c r="J58" s="321" t="str">
        <f>"[kg/kg] kg of HCl acid produced from "&amp;material_input_output!J23&amp;" reaction per kg of rare earth chloride"</f>
        <v>[kg/kg] kg of HCl acid produced from Sm reaction per kg of rare earth chloride</v>
      </c>
      <c r="K58" s="322"/>
      <c r="L58" s="322"/>
      <c r="M58" s="322"/>
      <c r="N58" s="322"/>
      <c r="O58" s="322"/>
      <c r="P58" s="323"/>
      <c r="Q58" s="2"/>
      <c r="R58" s="2"/>
      <c r="S58" s="2"/>
      <c r="T58" s="2"/>
      <c r="U58" s="2"/>
      <c r="V58" s="2"/>
      <c r="W58" s="2"/>
      <c r="X58" s="2"/>
      <c r="Y58" s="2"/>
    </row>
    <row r="59" spans="1:25" x14ac:dyDescent="0.25">
      <c r="A59" s="2"/>
      <c r="B59" s="17">
        <f t="shared" si="0"/>
        <v>11</v>
      </c>
      <c r="C59" s="43" t="str">
        <f>material_input_output!J24&amp;"_HCl_acid"</f>
        <v>Eu_HCl_acid</v>
      </c>
      <c r="D59" s="44"/>
      <c r="E59" s="92">
        <f>material_input_output!G69</f>
        <v>0.29852193694859608</v>
      </c>
      <c r="F59" s="46"/>
      <c r="G59" s="47"/>
      <c r="H59" s="48" t="s">
        <v>426</v>
      </c>
      <c r="I59" s="46">
        <v>1</v>
      </c>
      <c r="J59" s="321" t="str">
        <f>"[kg/kg] kg of HCl acid produced from "&amp;material_input_output!J24&amp;" reaction per kg of rare earth chloride"</f>
        <v>[kg/kg] kg of HCl acid produced from Eu reaction per kg of rare earth chloride</v>
      </c>
      <c r="K59" s="322"/>
      <c r="L59" s="322"/>
      <c r="M59" s="322"/>
      <c r="N59" s="322"/>
      <c r="O59" s="322"/>
      <c r="P59" s="323"/>
      <c r="Q59" s="2"/>
      <c r="R59" s="2"/>
      <c r="S59" s="2"/>
      <c r="T59" s="2"/>
      <c r="U59" s="2"/>
      <c r="V59" s="2"/>
      <c r="W59" s="2"/>
      <c r="X59" s="2"/>
      <c r="Y59" s="2"/>
    </row>
    <row r="60" spans="1:25" x14ac:dyDescent="0.25">
      <c r="A60" s="2"/>
      <c r="B60" s="17">
        <f t="shared" si="0"/>
        <v>11</v>
      </c>
      <c r="C60" s="43" t="str">
        <f>material_input_output!J25&amp;"_HCl_acid"</f>
        <v>Gd_HCl_acid</v>
      </c>
      <c r="D60" s="44"/>
      <c r="E60" s="92">
        <f>material_input_output!G70</f>
        <v>0.2942766206400268</v>
      </c>
      <c r="F60" s="46"/>
      <c r="G60" s="47"/>
      <c r="H60" s="48" t="s">
        <v>426</v>
      </c>
      <c r="I60" s="46">
        <v>1</v>
      </c>
      <c r="J60" s="321" t="str">
        <f>"[kg/kg] kg of HCl acid produced from "&amp;material_input_output!J25&amp;" reaction per kg of rare earth chloride"</f>
        <v>[kg/kg] kg of HCl acid produced from Gd reaction per kg of rare earth chloride</v>
      </c>
      <c r="K60" s="322"/>
      <c r="L60" s="322"/>
      <c r="M60" s="322"/>
      <c r="N60" s="322"/>
      <c r="O60" s="322"/>
      <c r="P60" s="323"/>
      <c r="Q60" s="2"/>
      <c r="R60" s="2"/>
      <c r="S60" s="2"/>
      <c r="T60" s="2"/>
      <c r="U60" s="2"/>
      <c r="V60" s="2"/>
      <c r="W60" s="2"/>
      <c r="X60" s="2"/>
      <c r="Y60" s="2"/>
    </row>
    <row r="61" spans="1:25" x14ac:dyDescent="0.25">
      <c r="A61" s="2"/>
      <c r="B61" s="17">
        <f t="shared" si="0"/>
        <v>11</v>
      </c>
      <c r="C61" s="43" t="str">
        <f>material_input_output!J26&amp;"_HCl_acid"</f>
        <v>Tb_HCl_acid</v>
      </c>
      <c r="D61" s="44"/>
      <c r="E61" s="92">
        <f>material_input_output!G71</f>
        <v>0.2929561921797712</v>
      </c>
      <c r="F61" s="46"/>
      <c r="G61" s="47"/>
      <c r="H61" s="48" t="s">
        <v>426</v>
      </c>
      <c r="I61" s="46">
        <v>1</v>
      </c>
      <c r="J61" s="321" t="str">
        <f>"[kg/kg] kg of HCl acid produced from "&amp;material_input_output!J26&amp;" reaction per kg of rare earth chloride"</f>
        <v>[kg/kg] kg of HCl acid produced from Tb reaction per kg of rare earth chloride</v>
      </c>
      <c r="K61" s="322"/>
      <c r="L61" s="322"/>
      <c r="M61" s="322"/>
      <c r="N61" s="322"/>
      <c r="O61" s="322"/>
      <c r="P61" s="323"/>
      <c r="Q61" s="2"/>
      <c r="R61" s="2"/>
      <c r="S61" s="2"/>
      <c r="T61" s="2"/>
      <c r="U61" s="2"/>
      <c r="V61" s="2"/>
      <c r="W61" s="2"/>
      <c r="X61" s="2"/>
      <c r="Y61" s="2"/>
    </row>
    <row r="62" spans="1:25" x14ac:dyDescent="0.25">
      <c r="A62" s="2"/>
      <c r="B62" s="17">
        <f t="shared" si="0"/>
        <v>11</v>
      </c>
      <c r="C62" s="43" t="str">
        <f>material_input_output!J27&amp;"_HCl_acid"</f>
        <v>Dy_HCl_acid</v>
      </c>
      <c r="D62" s="44"/>
      <c r="E62" s="92">
        <f>material_input_output!G72</f>
        <v>0.29017806785757755</v>
      </c>
      <c r="F62" s="46"/>
      <c r="G62" s="47"/>
      <c r="H62" s="48" t="s">
        <v>426</v>
      </c>
      <c r="I62" s="46">
        <v>1</v>
      </c>
      <c r="J62" s="321" t="str">
        <f>"[kg/kg] kg of HCl acid produced from "&amp;material_input_output!J27&amp;" reaction per kg of rare earth chloride"</f>
        <v>[kg/kg] kg of HCl acid produced from Dy reaction per kg of rare earth chloride</v>
      </c>
      <c r="K62" s="322"/>
      <c r="L62" s="322"/>
      <c r="M62" s="322"/>
      <c r="N62" s="322"/>
      <c r="O62" s="322"/>
      <c r="P62" s="323"/>
      <c r="Q62" s="2"/>
      <c r="R62" s="2"/>
      <c r="S62" s="2"/>
      <c r="T62" s="2"/>
      <c r="U62" s="2"/>
      <c r="V62" s="2"/>
      <c r="W62" s="2"/>
      <c r="X62" s="2"/>
      <c r="Y62" s="2"/>
    </row>
    <row r="63" spans="1:25" x14ac:dyDescent="0.25">
      <c r="A63" s="2"/>
      <c r="B63" s="17">
        <f t="shared" si="0"/>
        <v>11</v>
      </c>
      <c r="C63" s="43" t="str">
        <f>material_input_output!J28&amp;"_HCl_acid"</f>
        <v>Ho_HCl_acid</v>
      </c>
      <c r="D63" s="44"/>
      <c r="E63" s="92">
        <f>material_input_output!G73</f>
        <v>0.28831918309034987</v>
      </c>
      <c r="F63" s="46"/>
      <c r="G63" s="47"/>
      <c r="H63" s="48" t="s">
        <v>426</v>
      </c>
      <c r="I63" s="46">
        <v>1</v>
      </c>
      <c r="J63" s="321" t="str">
        <f>"[kg/kg] kg of HCl acid produced from "&amp;material_input_output!J28&amp;" reaction per kg of rare earth chloride"</f>
        <v>[kg/kg] kg of HCl acid produced from Ho reaction per kg of rare earth chloride</v>
      </c>
      <c r="K63" s="322"/>
      <c r="L63" s="322"/>
      <c r="M63" s="322"/>
      <c r="N63" s="322"/>
      <c r="O63" s="322"/>
      <c r="P63" s="323"/>
      <c r="Q63" s="2"/>
      <c r="R63" s="2"/>
      <c r="S63" s="2"/>
      <c r="T63" s="2"/>
      <c r="U63" s="2"/>
      <c r="V63" s="2"/>
      <c r="W63" s="2"/>
      <c r="X63" s="2"/>
      <c r="Y63" s="2"/>
    </row>
    <row r="64" spans="1:25" x14ac:dyDescent="0.25">
      <c r="A64" s="2"/>
      <c r="B64" s="17">
        <f t="shared" si="0"/>
        <v>11</v>
      </c>
      <c r="C64" s="43" t="str">
        <f>material_input_output!J29&amp;"_HCl_acid"</f>
        <v>Er_HCl_acid</v>
      </c>
      <c r="D64" s="44"/>
      <c r="E64" s="92">
        <f>material_input_output!G74</f>
        <v>0.28656024652033979</v>
      </c>
      <c r="F64" s="46"/>
      <c r="G64" s="47"/>
      <c r="H64" s="48" t="s">
        <v>426</v>
      </c>
      <c r="I64" s="46">
        <v>1</v>
      </c>
      <c r="J64" s="321" t="str">
        <f>"[kg/kg] kg of HCl acid produced from "&amp;material_input_output!J29&amp;" reaction per kg of rare earth chloride"</f>
        <v>[kg/kg] kg of HCl acid produced from Er reaction per kg of rare earth chloride</v>
      </c>
      <c r="K64" s="322"/>
      <c r="L64" s="322"/>
      <c r="M64" s="322"/>
      <c r="N64" s="322"/>
      <c r="O64" s="322"/>
      <c r="P64" s="323"/>
      <c r="Q64" s="2"/>
      <c r="R64" s="2"/>
      <c r="S64" s="2"/>
      <c r="T64" s="2"/>
      <c r="U64" s="2"/>
      <c r="V64" s="2"/>
      <c r="W64" s="2"/>
      <c r="X64" s="2"/>
      <c r="Y64" s="2"/>
    </row>
    <row r="65" spans="1:25" x14ac:dyDescent="0.25">
      <c r="A65" s="2"/>
      <c r="B65" s="17">
        <f t="shared" si="0"/>
        <v>11</v>
      </c>
      <c r="C65" s="43" t="str">
        <f>material_input_output!J30&amp;"_HCl_acid"</f>
        <v>Tm_HCl_acid</v>
      </c>
      <c r="D65" s="44"/>
      <c r="E65" s="92">
        <f>material_input_output!G75</f>
        <v>0.28530811425562441</v>
      </c>
      <c r="F65" s="46"/>
      <c r="G65" s="47"/>
      <c r="H65" s="48" t="s">
        <v>426</v>
      </c>
      <c r="I65" s="46">
        <v>1</v>
      </c>
      <c r="J65" s="321" t="str">
        <f>"[kg/kg] kg of HCl acid produced from "&amp;material_input_output!J30&amp;" reaction per kg of rare earth chloride"</f>
        <v>[kg/kg] kg of HCl acid produced from Tm reaction per kg of rare earth chloride</v>
      </c>
      <c r="K65" s="322"/>
      <c r="L65" s="322"/>
      <c r="M65" s="322"/>
      <c r="N65" s="322"/>
      <c r="O65" s="322"/>
      <c r="P65" s="323"/>
      <c r="Q65" s="2"/>
      <c r="R65" s="2"/>
      <c r="S65" s="2"/>
      <c r="T65" s="2"/>
      <c r="U65" s="2"/>
      <c r="V65" s="2"/>
      <c r="W65" s="2"/>
      <c r="X65" s="2"/>
      <c r="Y65" s="2"/>
    </row>
    <row r="66" spans="1:25" x14ac:dyDescent="0.25">
      <c r="A66" s="2"/>
      <c r="B66" s="17">
        <f t="shared" si="0"/>
        <v>11</v>
      </c>
      <c r="C66" s="43" t="str">
        <f>material_input_output!J31&amp;"_HCl_acid"</f>
        <v>Yb_HCl_acid</v>
      </c>
      <c r="D66" s="44"/>
      <c r="E66" s="92">
        <f>material_input_output!G76</f>
        <v>0.28228503457167026</v>
      </c>
      <c r="F66" s="46"/>
      <c r="G66" s="47"/>
      <c r="H66" s="48" t="s">
        <v>426</v>
      </c>
      <c r="I66" s="46">
        <v>1</v>
      </c>
      <c r="J66" s="321" t="str">
        <f>"[kg/kg] kg of HCl acid produced from "&amp;material_input_output!J31&amp;" reaction per kg of rare earth chloride"</f>
        <v>[kg/kg] kg of HCl acid produced from Yb reaction per kg of rare earth chloride</v>
      </c>
      <c r="K66" s="322"/>
      <c r="L66" s="322"/>
      <c r="M66" s="322"/>
      <c r="N66" s="322"/>
      <c r="O66" s="322"/>
      <c r="P66" s="323"/>
      <c r="Q66" s="2"/>
      <c r="R66" s="2"/>
      <c r="S66" s="2"/>
      <c r="T66" s="2"/>
      <c r="U66" s="2"/>
      <c r="V66" s="2"/>
      <c r="W66" s="2"/>
      <c r="X66" s="2"/>
      <c r="Y66" s="2"/>
    </row>
    <row r="67" spans="1:25" x14ac:dyDescent="0.25">
      <c r="A67" s="2"/>
      <c r="B67" s="17">
        <f t="shared" si="0"/>
        <v>11</v>
      </c>
      <c r="C67" s="43" t="str">
        <f>material_input_output!J32&amp;"_HCl_acid"</f>
        <v>Lu_HCl_acid</v>
      </c>
      <c r="D67" s="44"/>
      <c r="E67" s="92">
        <f>material_input_output!G77</f>
        <v>0.28088817128179699</v>
      </c>
      <c r="F67" s="46"/>
      <c r="G67" s="47"/>
      <c r="H67" s="48" t="s">
        <v>426</v>
      </c>
      <c r="I67" s="46">
        <v>1</v>
      </c>
      <c r="J67" s="321" t="str">
        <f>"[kg/kg] kg of HCl acid produced from "&amp;material_input_output!J32&amp;" reaction per kg of rare earth chloride"</f>
        <v>[kg/kg] kg of HCl acid produced from Lu reaction per kg of rare earth chloride</v>
      </c>
      <c r="K67" s="322"/>
      <c r="L67" s="322"/>
      <c r="M67" s="322"/>
      <c r="N67" s="322"/>
      <c r="O67" s="322"/>
      <c r="P67" s="323"/>
      <c r="Q67" s="2"/>
      <c r="R67" s="2"/>
      <c r="S67" s="2"/>
      <c r="T67" s="2"/>
      <c r="U67" s="2"/>
      <c r="V67" s="2"/>
      <c r="W67" s="2"/>
      <c r="X67" s="2"/>
      <c r="Y67" s="2"/>
    </row>
    <row r="68" spans="1:25" x14ac:dyDescent="0.25">
      <c r="A68" s="2"/>
      <c r="B68" s="17">
        <f t="shared" si="0"/>
        <v>10</v>
      </c>
      <c r="C68" s="43" t="str">
        <f>material_input_output!J33&amp;"_HCl_acid"</f>
        <v>Y_HCl_acid</v>
      </c>
      <c r="D68" s="44"/>
      <c r="E68" s="92">
        <f>material_input_output!G78</f>
        <v>0.36057512920522927</v>
      </c>
      <c r="F68" s="46"/>
      <c r="G68" s="47"/>
      <c r="H68" s="48" t="s">
        <v>426</v>
      </c>
      <c r="I68" s="46">
        <v>1</v>
      </c>
      <c r="J68" s="321" t="str">
        <f>"[kg/kg] kg of HCl acid produced from "&amp;material_input_output!J33&amp;" reaction per kg of rare earth chloride"</f>
        <v>[kg/kg] kg of HCl acid produced from Y reaction per kg of rare earth chloride</v>
      </c>
      <c r="K68" s="322"/>
      <c r="L68" s="322"/>
      <c r="M68" s="322"/>
      <c r="N68" s="322"/>
      <c r="O68" s="322"/>
      <c r="P68" s="323"/>
      <c r="Q68" s="2"/>
      <c r="R68" s="2"/>
      <c r="S68" s="2"/>
      <c r="T68" s="2"/>
      <c r="U68" s="2"/>
      <c r="V68" s="2"/>
      <c r="W68" s="2"/>
      <c r="X68" s="2"/>
      <c r="Y68" s="2"/>
    </row>
    <row r="69" spans="1:25" ht="77.25" x14ac:dyDescent="0.25">
      <c r="A69" s="2"/>
      <c r="B69" s="17">
        <f t="shared" si="0"/>
        <v>8</v>
      </c>
      <c r="C69" s="43" t="s">
        <v>415</v>
      </c>
      <c r="D69" s="44" t="s">
        <v>418</v>
      </c>
      <c r="E69" s="92">
        <f>E54*$E$23+E55*$E$24+E56*$E$25+E57*$E$26+E58*$E$27+E59*$E$28+E60*$E$29+E61*$E$30+E62*$E$31+E63*$E$32+E64*$E$33+E65*$E$34+E66*$E$35+E67*$E$36+E68*$E$37</f>
        <v>0.36057512920522927</v>
      </c>
      <c r="F69" s="46"/>
      <c r="G69" s="47"/>
      <c r="H69" s="48" t="s">
        <v>426</v>
      </c>
      <c r="I69" s="46">
        <v>1</v>
      </c>
      <c r="J69" s="321" t="s">
        <v>458</v>
      </c>
      <c r="K69" s="322"/>
      <c r="L69" s="322"/>
      <c r="M69" s="322"/>
      <c r="N69" s="322"/>
      <c r="O69" s="322"/>
      <c r="P69" s="323"/>
      <c r="Q69" s="2"/>
      <c r="R69" s="2"/>
      <c r="S69" s="2"/>
      <c r="T69" s="2"/>
      <c r="U69" s="2"/>
      <c r="V69" s="2"/>
      <c r="W69" s="2"/>
      <c r="X69" s="2"/>
      <c r="Y69" s="2"/>
    </row>
    <row r="70" spans="1:25" x14ac:dyDescent="0.25">
      <c r="A70" s="2"/>
      <c r="B70" s="17">
        <f t="shared" si="0"/>
        <v>9</v>
      </c>
      <c r="C70" s="43" t="str">
        <f>material_input_output!J19&amp;"_H2O_in"</f>
        <v>Ce_H2O_in</v>
      </c>
      <c r="D70" s="44"/>
      <c r="E70" s="92">
        <f>material_input_output!F64</f>
        <v>0.10161857284502876</v>
      </c>
      <c r="F70" s="46"/>
      <c r="G70" s="47"/>
      <c r="H70" s="48" t="s">
        <v>426</v>
      </c>
      <c r="I70" s="46">
        <v>1</v>
      </c>
      <c r="J70" s="321" t="str">
        <f>"[kg/kg] kg of water to react with "&amp;material_input_output!J19&amp;" chloride per kg of rare earth chloride"</f>
        <v>[kg/kg] kg of water to react with Ce chloride per kg of rare earth chloride</v>
      </c>
      <c r="K70" s="322"/>
      <c r="L70" s="322"/>
      <c r="M70" s="322"/>
      <c r="N70" s="322"/>
      <c r="O70" s="322"/>
      <c r="P70" s="323"/>
      <c r="Q70" s="2"/>
      <c r="R70" s="2"/>
      <c r="S70" s="2"/>
      <c r="T70" s="2"/>
      <c r="U70" s="2"/>
      <c r="V70" s="2"/>
      <c r="W70" s="2"/>
      <c r="X70" s="2"/>
      <c r="Y70" s="2"/>
    </row>
    <row r="71" spans="1:25" x14ac:dyDescent="0.25">
      <c r="A71" s="2"/>
      <c r="B71" s="17">
        <f t="shared" si="0"/>
        <v>9</v>
      </c>
      <c r="C71" s="43" t="str">
        <f>material_input_output!J20&amp;"_H2O_in"</f>
        <v>La_H2O_in</v>
      </c>
      <c r="D71" s="44"/>
      <c r="E71" s="92">
        <f>material_input_output!F65</f>
        <v>0.10196669847121664</v>
      </c>
      <c r="F71" s="46"/>
      <c r="G71" s="47"/>
      <c r="H71" s="48" t="s">
        <v>426</v>
      </c>
      <c r="I71" s="46">
        <v>1</v>
      </c>
      <c r="J71" s="321" t="str">
        <f>"[kg/kg] kg of water to react with "&amp;material_input_output!J20&amp;" chloride per kg of rare earth chloride"</f>
        <v>[kg/kg] kg of water to react with La chloride per kg of rare earth chloride</v>
      </c>
      <c r="K71" s="322"/>
      <c r="L71" s="322"/>
      <c r="M71" s="322"/>
      <c r="N71" s="322"/>
      <c r="O71" s="322"/>
      <c r="P71" s="323"/>
      <c r="Q71" s="2"/>
      <c r="R71" s="2"/>
      <c r="S71" s="2"/>
      <c r="T71" s="2"/>
      <c r="U71" s="2"/>
      <c r="V71" s="2"/>
      <c r="W71" s="2"/>
      <c r="X71" s="2"/>
      <c r="Y71" s="2"/>
    </row>
    <row r="72" spans="1:25" x14ac:dyDescent="0.25">
      <c r="A72" s="2"/>
      <c r="B72" s="17">
        <f t="shared" si="0"/>
        <v>9</v>
      </c>
      <c r="C72" s="43" t="str">
        <f>material_input_output!J21&amp;"_H2O_in"</f>
        <v>Pr_H2O_in</v>
      </c>
      <c r="D72" s="44"/>
      <c r="E72" s="92">
        <f>material_input_output!F66</f>
        <v>0.1013921919320141</v>
      </c>
      <c r="F72" s="46"/>
      <c r="G72" s="47"/>
      <c r="H72" s="48" t="s">
        <v>426</v>
      </c>
      <c r="I72" s="46">
        <v>1</v>
      </c>
      <c r="J72" s="321" t="str">
        <f>"[kg/kg] kg of water to react with "&amp;material_input_output!J21&amp;" chloride per kg of rare earth chloride"</f>
        <v>[kg/kg] kg of water to react with Pr chloride per kg of rare earth chloride</v>
      </c>
      <c r="K72" s="322"/>
      <c r="L72" s="322"/>
      <c r="M72" s="322"/>
      <c r="N72" s="322"/>
      <c r="O72" s="322"/>
      <c r="P72" s="323"/>
      <c r="Q72" s="2"/>
      <c r="R72" s="2"/>
      <c r="S72" s="2"/>
      <c r="T72" s="2"/>
      <c r="U72" s="2"/>
      <c r="V72" s="2"/>
      <c r="W72" s="2"/>
      <c r="X72" s="2"/>
      <c r="Y72" s="2"/>
    </row>
    <row r="73" spans="1:25" x14ac:dyDescent="0.25">
      <c r="A73" s="2"/>
      <c r="B73" s="17">
        <f t="shared" si="0"/>
        <v>9</v>
      </c>
      <c r="C73" s="43" t="str">
        <f>material_input_output!J22&amp;"_H2O_in"</f>
        <v>Nd_H2O_in</v>
      </c>
      <c r="D73" s="44"/>
      <c r="E73" s="92">
        <f>material_input_output!F67</f>
        <v>0.10044966627141654</v>
      </c>
      <c r="F73" s="46"/>
      <c r="G73" s="47"/>
      <c r="H73" s="48" t="s">
        <v>426</v>
      </c>
      <c r="I73" s="46">
        <v>1</v>
      </c>
      <c r="J73" s="321" t="str">
        <f>"[kg/kg] kg of water to react with "&amp;material_input_output!J22&amp;" chloride per kg of rare earth chloride"</f>
        <v>[kg/kg] kg of water to react with Nd chloride per kg of rare earth chloride</v>
      </c>
      <c r="K73" s="322"/>
      <c r="L73" s="322"/>
      <c r="M73" s="322"/>
      <c r="N73" s="322"/>
      <c r="O73" s="322"/>
      <c r="P73" s="323"/>
      <c r="Q73" s="2"/>
      <c r="R73" s="2"/>
      <c r="S73" s="2"/>
      <c r="T73" s="2"/>
      <c r="U73" s="2"/>
      <c r="V73" s="2"/>
      <c r="W73" s="2"/>
      <c r="X73" s="2"/>
      <c r="Y73" s="2"/>
    </row>
    <row r="74" spans="1:25" x14ac:dyDescent="0.25">
      <c r="A74" s="2"/>
      <c r="B74" s="17">
        <f t="shared" si="0"/>
        <v>9</v>
      </c>
      <c r="C74" s="43" t="str">
        <f>material_input_output!J23&amp;"_H2O_in"</f>
        <v>Sm_H2O_in</v>
      </c>
      <c r="D74" s="44"/>
      <c r="E74" s="92">
        <f>material_input_output!F68</f>
        <v>9.8765090978147882E-2</v>
      </c>
      <c r="F74" s="46"/>
      <c r="G74" s="47"/>
      <c r="H74" s="48" t="s">
        <v>426</v>
      </c>
      <c r="I74" s="46">
        <v>1</v>
      </c>
      <c r="J74" s="321" t="str">
        <f>"[kg/kg] kg of water to react with "&amp;material_input_output!J23&amp;" chloride per kg of rare earth chloride"</f>
        <v>[kg/kg] kg of water to react with Sm chloride per kg of rare earth chloride</v>
      </c>
      <c r="K74" s="322"/>
      <c r="L74" s="322"/>
      <c r="M74" s="322"/>
      <c r="N74" s="322"/>
      <c r="O74" s="322"/>
      <c r="P74" s="323"/>
      <c r="Q74" s="2"/>
      <c r="R74" s="2"/>
      <c r="S74" s="2"/>
      <c r="T74" s="2"/>
      <c r="U74" s="2"/>
      <c r="V74" s="2"/>
      <c r="W74" s="2"/>
      <c r="X74" s="2"/>
      <c r="Y74" s="2"/>
    </row>
    <row r="75" spans="1:25" x14ac:dyDescent="0.25">
      <c r="A75" s="2"/>
      <c r="B75" s="17">
        <f t="shared" si="0"/>
        <v>9</v>
      </c>
      <c r="C75" s="43" t="str">
        <f>material_input_output!J24&amp;"_H2O_in"</f>
        <v>Eu_H2O_in</v>
      </c>
      <c r="D75" s="44"/>
      <c r="E75" s="92">
        <f>material_input_output!F69</f>
        <v>9.8332741472039284E-2</v>
      </c>
      <c r="F75" s="46"/>
      <c r="G75" s="47"/>
      <c r="H75" s="48" t="s">
        <v>426</v>
      </c>
      <c r="I75" s="46">
        <v>1</v>
      </c>
      <c r="J75" s="321" t="str">
        <f>"[kg/kg] kg of water to react with "&amp;material_input_output!J24&amp;" chloride per kg of rare earth chloride"</f>
        <v>[kg/kg] kg of water to react with Eu chloride per kg of rare earth chloride</v>
      </c>
      <c r="K75" s="322"/>
      <c r="L75" s="322"/>
      <c r="M75" s="322"/>
      <c r="N75" s="322"/>
      <c r="O75" s="322"/>
      <c r="P75" s="323"/>
      <c r="Q75" s="2"/>
      <c r="R75" s="2"/>
      <c r="S75" s="2"/>
      <c r="T75" s="2"/>
      <c r="U75" s="2"/>
      <c r="V75" s="2"/>
      <c r="W75" s="2"/>
      <c r="X75" s="2"/>
      <c r="Y75" s="2"/>
    </row>
    <row r="76" spans="1:25" x14ac:dyDescent="0.25">
      <c r="A76" s="2"/>
      <c r="B76" s="17">
        <f t="shared" si="0"/>
        <v>9</v>
      </c>
      <c r="C76" s="43" t="str">
        <f>material_input_output!J25&amp;"_H2O_in"</f>
        <v>Gd_H2O_in</v>
      </c>
      <c r="D76" s="44"/>
      <c r="E76" s="92">
        <f>material_input_output!F70</f>
        <v>9.6934339748853834E-2</v>
      </c>
      <c r="F76" s="46"/>
      <c r="G76" s="47"/>
      <c r="H76" s="48" t="s">
        <v>426</v>
      </c>
      <c r="I76" s="46">
        <v>1</v>
      </c>
      <c r="J76" s="321" t="str">
        <f>"[kg/kg] kg of water to react with "&amp;material_input_output!J25&amp;" chloride per kg of rare earth chloride"</f>
        <v>[kg/kg] kg of water to react with Gd chloride per kg of rare earth chloride</v>
      </c>
      <c r="K76" s="322"/>
      <c r="L76" s="322"/>
      <c r="M76" s="322"/>
      <c r="N76" s="322"/>
      <c r="O76" s="322"/>
      <c r="P76" s="323"/>
      <c r="Q76" s="2"/>
      <c r="R76" s="2"/>
      <c r="S76" s="2"/>
      <c r="T76" s="2"/>
      <c r="U76" s="2"/>
      <c r="V76" s="2"/>
      <c r="W76" s="2"/>
      <c r="X76" s="2"/>
      <c r="Y76" s="2"/>
    </row>
    <row r="77" spans="1:25" x14ac:dyDescent="0.25">
      <c r="A77" s="2"/>
      <c r="B77" s="17">
        <f t="shared" si="0"/>
        <v>9</v>
      </c>
      <c r="C77" s="43" t="str">
        <f>material_input_output!J26&amp;"_H2O_in"</f>
        <v>Tb_H2O_in</v>
      </c>
      <c r="D77" s="44"/>
      <c r="E77" s="92">
        <f>material_input_output!F71</f>
        <v>9.6499392315034266E-2</v>
      </c>
      <c r="F77" s="46"/>
      <c r="G77" s="47"/>
      <c r="H77" s="48" t="s">
        <v>426</v>
      </c>
      <c r="I77" s="46">
        <v>1</v>
      </c>
      <c r="J77" s="321" t="str">
        <f>"[kg/kg] kg of water to react with "&amp;material_input_output!J26&amp;" chloride per kg of rare earth chloride"</f>
        <v>[kg/kg] kg of water to react with Tb chloride per kg of rare earth chloride</v>
      </c>
      <c r="K77" s="322"/>
      <c r="L77" s="322"/>
      <c r="M77" s="322"/>
      <c r="N77" s="322"/>
      <c r="O77" s="322"/>
      <c r="P77" s="323"/>
      <c r="Q77" s="2"/>
      <c r="R77" s="2"/>
      <c r="S77" s="2"/>
      <c r="T77" s="2"/>
      <c r="U77" s="2"/>
      <c r="V77" s="2"/>
      <c r="W77" s="2"/>
      <c r="X77" s="2"/>
      <c r="Y77" s="2"/>
    </row>
    <row r="78" spans="1:25" x14ac:dyDescent="0.25">
      <c r="A78" s="2"/>
      <c r="B78" s="17">
        <f t="shared" si="0"/>
        <v>9</v>
      </c>
      <c r="C78" s="43" t="str">
        <f>material_input_output!J27&amp;"_H2O_in"</f>
        <v>Dy_H2O_in</v>
      </c>
      <c r="D78" s="44"/>
      <c r="E78" s="92">
        <f>material_input_output!F72</f>
        <v>9.558428174211013E-2</v>
      </c>
      <c r="F78" s="46"/>
      <c r="G78" s="47"/>
      <c r="H78" s="48" t="s">
        <v>426</v>
      </c>
      <c r="I78" s="46">
        <v>1</v>
      </c>
      <c r="J78" s="321" t="str">
        <f>"[kg/kg] kg of water to react with "&amp;material_input_output!J27&amp;" chloride per kg of rare earth chloride"</f>
        <v>[kg/kg] kg of water to react with Dy chloride per kg of rare earth chloride</v>
      </c>
      <c r="K78" s="322"/>
      <c r="L78" s="322"/>
      <c r="M78" s="322"/>
      <c r="N78" s="322"/>
      <c r="O78" s="322"/>
      <c r="P78" s="323"/>
      <c r="Q78" s="2"/>
      <c r="R78" s="2"/>
      <c r="S78" s="2"/>
      <c r="T78" s="2"/>
      <c r="U78" s="2"/>
      <c r="V78" s="2"/>
      <c r="W78" s="2"/>
      <c r="X78" s="2"/>
      <c r="Y78" s="2"/>
    </row>
    <row r="79" spans="1:25" x14ac:dyDescent="0.25">
      <c r="A79" s="2"/>
      <c r="B79" s="17">
        <f t="shared" si="0"/>
        <v>9</v>
      </c>
      <c r="C79" s="43" t="str">
        <f>material_input_output!J28&amp;"_H2O_in"</f>
        <v>Ho_H2O_in</v>
      </c>
      <c r="D79" s="44"/>
      <c r="E79" s="92">
        <f>material_input_output!F73</f>
        <v>9.4971967494418566E-2</v>
      </c>
      <c r="F79" s="46"/>
      <c r="G79" s="47"/>
      <c r="H79" s="48" t="s">
        <v>426</v>
      </c>
      <c r="I79" s="46">
        <v>1</v>
      </c>
      <c r="J79" s="321" t="str">
        <f>"[kg/kg] kg of water to react with "&amp;material_input_output!J28&amp;" chloride per kg of rare earth chloride"</f>
        <v>[kg/kg] kg of water to react with Ho chloride per kg of rare earth chloride</v>
      </c>
      <c r="K79" s="322"/>
      <c r="L79" s="322"/>
      <c r="M79" s="322"/>
      <c r="N79" s="322"/>
      <c r="O79" s="322"/>
      <c r="P79" s="323"/>
      <c r="Q79" s="2"/>
      <c r="R79" s="2"/>
      <c r="S79" s="2"/>
      <c r="T79" s="2"/>
      <c r="U79" s="2"/>
      <c r="V79" s="2"/>
      <c r="W79" s="2"/>
      <c r="X79" s="2"/>
      <c r="Y79" s="2"/>
    </row>
    <row r="80" spans="1:25" x14ac:dyDescent="0.25">
      <c r="A80" s="2"/>
      <c r="B80" s="17">
        <f t="shared" si="0"/>
        <v>9</v>
      </c>
      <c r="C80" s="43" t="str">
        <f>material_input_output!J29&amp;"_H2O_in"</f>
        <v>Er_H2O_in</v>
      </c>
      <c r="D80" s="44"/>
      <c r="E80" s="92">
        <f>material_input_output!F74</f>
        <v>9.4392576054136243E-2</v>
      </c>
      <c r="F80" s="46"/>
      <c r="G80" s="47"/>
      <c r="H80" s="48" t="s">
        <v>426</v>
      </c>
      <c r="I80" s="46">
        <v>1</v>
      </c>
      <c r="J80" s="321" t="str">
        <f>"[kg/kg] kg of water to react with "&amp;material_input_output!J29&amp;" chloride per kg of rare earth chloride"</f>
        <v>[kg/kg] kg of water to react with Er chloride per kg of rare earth chloride</v>
      </c>
      <c r="K80" s="322"/>
      <c r="L80" s="322"/>
      <c r="M80" s="322"/>
      <c r="N80" s="322"/>
      <c r="O80" s="322"/>
      <c r="P80" s="323"/>
      <c r="Q80" s="2"/>
      <c r="R80" s="2"/>
      <c r="S80" s="2"/>
      <c r="T80" s="2"/>
      <c r="U80" s="2"/>
      <c r="V80" s="2"/>
      <c r="W80" s="2"/>
      <c r="X80" s="2"/>
      <c r="Y80" s="2"/>
    </row>
    <row r="81" spans="1:25" x14ac:dyDescent="0.25">
      <c r="A81" s="2"/>
      <c r="B81" s="17">
        <f t="shared" si="0"/>
        <v>9</v>
      </c>
      <c r="C81" s="43" t="str">
        <f>material_input_output!J30&amp;"_H2O_in"</f>
        <v>Tm_H2O_in</v>
      </c>
      <c r="D81" s="44"/>
      <c r="E81" s="92">
        <f>material_input_output!F75</f>
        <v>9.3980125299147815E-2</v>
      </c>
      <c r="F81" s="46"/>
      <c r="G81" s="47"/>
      <c r="H81" s="48" t="s">
        <v>426</v>
      </c>
      <c r="I81" s="46">
        <v>1</v>
      </c>
      <c r="J81" s="321" t="str">
        <f>"[kg/kg] kg of water to react with "&amp;material_input_output!J30&amp;" chloride per kg of rare earth chloride"</f>
        <v>[kg/kg] kg of water to react with Tm chloride per kg of rare earth chloride</v>
      </c>
      <c r="K81" s="322"/>
      <c r="L81" s="322"/>
      <c r="M81" s="322"/>
      <c r="N81" s="322"/>
      <c r="O81" s="322"/>
      <c r="P81" s="323"/>
      <c r="Q81" s="2"/>
      <c r="R81" s="2"/>
      <c r="S81" s="2"/>
      <c r="T81" s="2"/>
      <c r="U81" s="2"/>
      <c r="V81" s="2"/>
      <c r="W81" s="2"/>
      <c r="X81" s="2"/>
      <c r="Y81" s="2"/>
    </row>
    <row r="82" spans="1:25" x14ac:dyDescent="0.25">
      <c r="A82" s="2"/>
      <c r="B82" s="17">
        <f t="shared" si="0"/>
        <v>9</v>
      </c>
      <c r="C82" s="43" t="str">
        <f>material_input_output!J31&amp;"_H2O_in"</f>
        <v>Yb_H2O_in</v>
      </c>
      <c r="D82" s="44"/>
      <c r="E82" s="92">
        <f>material_input_output!F76</f>
        <v>9.2984326745613619E-2</v>
      </c>
      <c r="F82" s="46"/>
      <c r="G82" s="47"/>
      <c r="H82" s="48" t="s">
        <v>426</v>
      </c>
      <c r="I82" s="46">
        <v>1</v>
      </c>
      <c r="J82" s="321" t="str">
        <f>"[kg/kg] kg of water to react with "&amp;material_input_output!J31&amp;" chloride per kg of rare earth chloride"</f>
        <v>[kg/kg] kg of water to react with Yb chloride per kg of rare earth chloride</v>
      </c>
      <c r="K82" s="322"/>
      <c r="L82" s="322"/>
      <c r="M82" s="322"/>
      <c r="N82" s="322"/>
      <c r="O82" s="322"/>
      <c r="P82" s="323"/>
      <c r="Q82" s="2"/>
      <c r="R82" s="2"/>
      <c r="S82" s="2"/>
      <c r="T82" s="2"/>
      <c r="U82" s="2"/>
      <c r="V82" s="2"/>
      <c r="W82" s="2"/>
      <c r="X82" s="2"/>
      <c r="Y82" s="2"/>
    </row>
    <row r="83" spans="1:25" x14ac:dyDescent="0.25">
      <c r="A83" s="2"/>
      <c r="B83" s="17">
        <f t="shared" si="0"/>
        <v>9</v>
      </c>
      <c r="C83" s="43" t="str">
        <f>material_input_output!J32&amp;"_H2O_in"</f>
        <v>Lu_H2O_in</v>
      </c>
      <c r="D83" s="44"/>
      <c r="E83" s="92">
        <f>material_input_output!F77</f>
        <v>9.2524201777382062E-2</v>
      </c>
      <c r="F83" s="46"/>
      <c r="G83" s="47"/>
      <c r="H83" s="48" t="s">
        <v>426</v>
      </c>
      <c r="I83" s="46">
        <v>1</v>
      </c>
      <c r="J83" s="321" t="str">
        <f>"[kg/kg] kg of water to react with "&amp;material_input_output!J32&amp;" chloride per kg of rare earth chloride"</f>
        <v>[kg/kg] kg of water to react with Lu chloride per kg of rare earth chloride</v>
      </c>
      <c r="K83" s="322"/>
      <c r="L83" s="322"/>
      <c r="M83" s="322"/>
      <c r="N83" s="322"/>
      <c r="O83" s="322"/>
      <c r="P83" s="323"/>
      <c r="Q83" s="2"/>
      <c r="R83" s="2"/>
      <c r="S83" s="2"/>
      <c r="T83" s="2"/>
      <c r="U83" s="2"/>
      <c r="V83" s="2"/>
      <c r="W83" s="2"/>
      <c r="X83" s="2"/>
      <c r="Y83" s="2"/>
    </row>
    <row r="84" spans="1:25" x14ac:dyDescent="0.25">
      <c r="A84" s="2"/>
      <c r="B84" s="17">
        <f t="shared" si="0"/>
        <v>8</v>
      </c>
      <c r="C84" s="43" t="str">
        <f>material_input_output!J33&amp;"_H2O_in"</f>
        <v>Y_H2O_in</v>
      </c>
      <c r="D84" s="44"/>
      <c r="E84" s="92">
        <f>material_input_output!F78</f>
        <v>0.11877298306385559</v>
      </c>
      <c r="F84" s="46"/>
      <c r="G84" s="47"/>
      <c r="H84" s="48" t="s">
        <v>426</v>
      </c>
      <c r="I84" s="46">
        <v>1</v>
      </c>
      <c r="J84" s="321" t="str">
        <f>"[kg/kg] kg of water to react with "&amp;material_input_output!J33&amp;" chloride per kg of rare earth chloride"</f>
        <v>[kg/kg] kg of water to react with Y chloride per kg of rare earth chloride</v>
      </c>
      <c r="K84" s="322"/>
      <c r="L84" s="322"/>
      <c r="M84" s="322"/>
      <c r="N84" s="322"/>
      <c r="O84" s="322"/>
      <c r="P84" s="323"/>
      <c r="Q84" s="2"/>
      <c r="R84" s="2"/>
      <c r="S84" s="2"/>
      <c r="T84" s="2"/>
      <c r="U84" s="2"/>
      <c r="V84" s="2"/>
      <c r="W84" s="2"/>
      <c r="X84" s="2"/>
      <c r="Y84" s="2"/>
    </row>
    <row r="85" spans="1:25" ht="64.5" x14ac:dyDescent="0.25">
      <c r="A85" s="2"/>
      <c r="B85" s="17">
        <f t="shared" si="0"/>
        <v>6</v>
      </c>
      <c r="C85" s="43" t="s">
        <v>416</v>
      </c>
      <c r="D85" s="44" t="s">
        <v>419</v>
      </c>
      <c r="E85" s="92">
        <f>E70*$E$23+E71*$E$24+E72*$E$25+E73*$E$26+E74*$E$27+E75*$E$28+E76*$E$29+E77*$E$30+E78*$E$31+E79*$E$32+E80*$E$33+E81*$E$34+E82*$E$35+E83*$E$36+E84*$E$37</f>
        <v>0.11877298306385559</v>
      </c>
      <c r="F85" s="46"/>
      <c r="G85" s="47"/>
      <c r="H85" s="48" t="s">
        <v>426</v>
      </c>
      <c r="I85" s="46">
        <v>1</v>
      </c>
      <c r="J85" s="321" t="s">
        <v>460</v>
      </c>
      <c r="K85" s="322"/>
      <c r="L85" s="322"/>
      <c r="M85" s="322"/>
      <c r="N85" s="322"/>
      <c r="O85" s="322"/>
      <c r="P85" s="323"/>
      <c r="Q85" s="2"/>
      <c r="R85" s="2"/>
      <c r="S85" s="2"/>
      <c r="T85" s="2"/>
      <c r="U85" s="2"/>
      <c r="V85" s="2"/>
      <c r="W85" s="2"/>
      <c r="X85" s="2"/>
      <c r="Y85" s="2"/>
    </row>
    <row r="86" spans="1:25" x14ac:dyDescent="0.25">
      <c r="A86" s="2"/>
      <c r="B86" s="17">
        <f t="shared" si="0"/>
        <v>6</v>
      </c>
      <c r="C86" s="43" t="str">
        <f>material_input_output!J19&amp;"_CO2"</f>
        <v>Ce_CO2</v>
      </c>
      <c r="D86" s="44"/>
      <c r="E86" s="92">
        <f>material_input_output!D127</f>
        <v>0.37236578462477071</v>
      </c>
      <c r="F86" s="46"/>
      <c r="G86" s="47"/>
      <c r="H86" s="48" t="s">
        <v>426</v>
      </c>
      <c r="I86" s="46" t="s">
        <v>511</v>
      </c>
      <c r="J86" s="321" t="str">
        <f>"[kg/kg] kg of CO2 produced from "&amp;material_input_output!J19&amp;" reaction per kg of rare earth chloride"</f>
        <v>[kg/kg] kg of CO2 produced from Ce reaction per kg of rare earth chloride</v>
      </c>
      <c r="K86" s="322"/>
      <c r="L86" s="322"/>
      <c r="M86" s="322"/>
      <c r="N86" s="322"/>
      <c r="O86" s="322"/>
      <c r="P86" s="323"/>
      <c r="Q86" s="2"/>
      <c r="R86" s="2"/>
      <c r="S86" s="2"/>
      <c r="T86" s="2"/>
      <c r="U86" s="2"/>
      <c r="V86" s="2"/>
      <c r="W86" s="2"/>
      <c r="X86" s="2"/>
      <c r="Y86" s="2"/>
    </row>
    <row r="87" spans="1:25" x14ac:dyDescent="0.25">
      <c r="A87" s="2"/>
      <c r="B87" s="17">
        <f t="shared" si="0"/>
        <v>6</v>
      </c>
      <c r="C87" s="43" t="str">
        <f>material_input_output!J20&amp;"_CO2"</f>
        <v>La_CO2</v>
      </c>
      <c r="D87" s="44"/>
      <c r="E87" s="92">
        <f>material_input_output!D128</f>
        <v>0.37364143796563321</v>
      </c>
      <c r="F87" s="46"/>
      <c r="G87" s="47"/>
      <c r="H87" s="48" t="s">
        <v>426</v>
      </c>
      <c r="I87" s="46" t="s">
        <v>511</v>
      </c>
      <c r="J87" s="321" t="str">
        <f>"[kg/kg] kg of CO2 produced from "&amp;material_input_output!J20&amp;" reaction per kg of rare earth chloride"</f>
        <v>[kg/kg] kg of CO2 produced from La reaction per kg of rare earth chloride</v>
      </c>
      <c r="K87" s="322"/>
      <c r="L87" s="322"/>
      <c r="M87" s="322"/>
      <c r="N87" s="322"/>
      <c r="O87" s="322"/>
      <c r="P87" s="323"/>
      <c r="Q87" s="2"/>
      <c r="R87" s="2"/>
      <c r="S87" s="2"/>
      <c r="T87" s="2"/>
      <c r="U87" s="2"/>
      <c r="V87" s="2"/>
      <c r="W87" s="2"/>
      <c r="X87" s="2"/>
      <c r="Y87" s="2"/>
    </row>
    <row r="88" spans="1:25" x14ac:dyDescent="0.25">
      <c r="A88" s="2"/>
      <c r="B88" s="17">
        <f t="shared" si="0"/>
        <v>6</v>
      </c>
      <c r="C88" s="43" t="str">
        <f>material_input_output!J21&amp;"_CO2"</f>
        <v>Pr_CO2</v>
      </c>
      <c r="D88" s="44"/>
      <c r="E88" s="92">
        <f>material_input_output!D129</f>
        <v>0.37153624624474119</v>
      </c>
      <c r="F88" s="46"/>
      <c r="G88" s="47"/>
      <c r="H88" s="48" t="s">
        <v>426</v>
      </c>
      <c r="I88" s="46" t="s">
        <v>511</v>
      </c>
      <c r="J88" s="321" t="str">
        <f>"[kg/kg] kg of CO2 produced from "&amp;material_input_output!J21&amp;" reaction per kg of rare earth chloride"</f>
        <v>[kg/kg] kg of CO2 produced from Pr reaction per kg of rare earth chloride</v>
      </c>
      <c r="K88" s="322"/>
      <c r="L88" s="322"/>
      <c r="M88" s="322"/>
      <c r="N88" s="322"/>
      <c r="O88" s="322"/>
      <c r="P88" s="323"/>
      <c r="Q88" s="2"/>
      <c r="R88" s="2"/>
      <c r="S88" s="2"/>
      <c r="T88" s="2"/>
      <c r="U88" s="2"/>
      <c r="V88" s="2"/>
      <c r="W88" s="2"/>
      <c r="X88" s="2"/>
      <c r="Y88" s="2"/>
    </row>
    <row r="89" spans="1:25" x14ac:dyDescent="0.25">
      <c r="A89" s="2"/>
      <c r="B89" s="17">
        <f t="shared" si="0"/>
        <v>6</v>
      </c>
      <c r="C89" s="43" t="str">
        <f>material_input_output!J22&amp;"_CO2"</f>
        <v>Nd_CO2</v>
      </c>
      <c r="D89" s="44"/>
      <c r="E89" s="92">
        <f>material_input_output!D130</f>
        <v>0.36808250449939495</v>
      </c>
      <c r="F89" s="46"/>
      <c r="G89" s="47"/>
      <c r="H89" s="48" t="s">
        <v>426</v>
      </c>
      <c r="I89" s="46" t="s">
        <v>511</v>
      </c>
      <c r="J89" s="321" t="str">
        <f>"[kg/kg] kg of CO2 produced from "&amp;material_input_output!J22&amp;" reaction per kg of rare earth chloride"</f>
        <v>[kg/kg] kg of CO2 produced from Nd reaction per kg of rare earth chloride</v>
      </c>
      <c r="K89" s="322"/>
      <c r="L89" s="322"/>
      <c r="M89" s="322"/>
      <c r="N89" s="322"/>
      <c r="O89" s="322"/>
      <c r="P89" s="323"/>
      <c r="Q89" s="2"/>
      <c r="R89" s="2"/>
      <c r="S89" s="2"/>
      <c r="T89" s="2"/>
      <c r="U89" s="2"/>
      <c r="V89" s="2"/>
      <c r="W89" s="2"/>
      <c r="X89" s="2"/>
      <c r="Y89" s="2"/>
    </row>
    <row r="90" spans="1:25" x14ac:dyDescent="0.25">
      <c r="A90" s="2"/>
      <c r="B90" s="17">
        <f t="shared" si="0"/>
        <v>6</v>
      </c>
      <c r="C90" s="43" t="str">
        <f>material_input_output!J23&amp;"_CO2"</f>
        <v>Sm_CO2</v>
      </c>
      <c r="D90" s="44"/>
      <c r="E90" s="92">
        <f>material_input_output!D131</f>
        <v>0.3619096348823998</v>
      </c>
      <c r="F90" s="46"/>
      <c r="G90" s="47"/>
      <c r="H90" s="48" t="s">
        <v>426</v>
      </c>
      <c r="I90" s="46" t="s">
        <v>511</v>
      </c>
      <c r="J90" s="321" t="str">
        <f>"[kg/kg] kg of CO2 produced from "&amp;material_input_output!J23&amp;" reaction per kg of rare earth chloride"</f>
        <v>[kg/kg] kg of CO2 produced from Sm reaction per kg of rare earth chloride</v>
      </c>
      <c r="K90" s="322"/>
      <c r="L90" s="322"/>
      <c r="M90" s="322"/>
      <c r="N90" s="322"/>
      <c r="O90" s="322"/>
      <c r="P90" s="323"/>
      <c r="Q90" s="2"/>
      <c r="R90" s="2"/>
      <c r="S90" s="2"/>
      <c r="T90" s="2"/>
      <c r="U90" s="2"/>
      <c r="V90" s="2"/>
      <c r="W90" s="2"/>
      <c r="X90" s="2"/>
      <c r="Y90" s="2"/>
    </row>
    <row r="91" spans="1:25" x14ac:dyDescent="0.25">
      <c r="A91" s="2"/>
      <c r="B91" s="17">
        <f t="shared" si="0"/>
        <v>6</v>
      </c>
      <c r="C91" s="43" t="str">
        <f>material_input_output!J24&amp;"_CO2"</f>
        <v>Eu_CO2</v>
      </c>
      <c r="D91" s="44"/>
      <c r="E91" s="92">
        <f>material_input_output!D132</f>
        <v>0.36032535596008325</v>
      </c>
      <c r="F91" s="46"/>
      <c r="G91" s="47"/>
      <c r="H91" s="48" t="s">
        <v>426</v>
      </c>
      <c r="I91" s="46" t="s">
        <v>511</v>
      </c>
      <c r="J91" s="321" t="str">
        <f>"[kg/kg] kg of CO2 produced from "&amp;material_input_output!J24&amp;" reaction per kg of rare earth chloride"</f>
        <v>[kg/kg] kg of CO2 produced from Eu reaction per kg of rare earth chloride</v>
      </c>
      <c r="K91" s="322"/>
      <c r="L91" s="322"/>
      <c r="M91" s="322"/>
      <c r="N91" s="322"/>
      <c r="O91" s="322"/>
      <c r="P91" s="323"/>
      <c r="Q91" s="2"/>
      <c r="R91" s="2"/>
      <c r="S91" s="2"/>
      <c r="T91" s="2"/>
      <c r="U91" s="2"/>
      <c r="V91" s="2"/>
      <c r="W91" s="2"/>
      <c r="X91" s="2"/>
      <c r="Y91" s="2"/>
    </row>
    <row r="92" spans="1:25" x14ac:dyDescent="0.25">
      <c r="A92" s="2"/>
      <c r="B92" s="17">
        <f t="shared" si="0"/>
        <v>6</v>
      </c>
      <c r="C92" s="43" t="str">
        <f>material_input_output!J25&amp;"_CO2"</f>
        <v>Gd_CO2</v>
      </c>
      <c r="D92" s="44"/>
      <c r="E92" s="92">
        <f>material_input_output!D133</f>
        <v>0.35520112580907837</v>
      </c>
      <c r="F92" s="46"/>
      <c r="G92" s="47"/>
      <c r="H92" s="48" t="s">
        <v>426</v>
      </c>
      <c r="I92" s="46" t="s">
        <v>511</v>
      </c>
      <c r="J92" s="321" t="str">
        <f>"[kg/kg] kg of CO2 produced from "&amp;material_input_output!J25&amp;" reaction per kg of rare earth chloride"</f>
        <v>[kg/kg] kg of CO2 produced from Gd reaction per kg of rare earth chloride</v>
      </c>
      <c r="K92" s="322"/>
      <c r="L92" s="322"/>
      <c r="M92" s="322"/>
      <c r="N92" s="322"/>
      <c r="O92" s="322"/>
      <c r="P92" s="323"/>
      <c r="Q92" s="2"/>
      <c r="R92" s="2"/>
      <c r="S92" s="2"/>
      <c r="T92" s="2"/>
      <c r="U92" s="2"/>
      <c r="V92" s="2"/>
      <c r="W92" s="2"/>
      <c r="X92" s="2"/>
      <c r="Y92" s="2"/>
    </row>
    <row r="93" spans="1:25" x14ac:dyDescent="0.25">
      <c r="A93" s="2"/>
      <c r="B93" s="17">
        <f t="shared" si="0"/>
        <v>6</v>
      </c>
      <c r="C93" s="43" t="str">
        <f>material_input_output!J26&amp;"_CO2"</f>
        <v>Tb_CO2</v>
      </c>
      <c r="D93" s="44"/>
      <c r="E93" s="92">
        <f>material_input_output!D134</f>
        <v>0.35360732717630533</v>
      </c>
      <c r="F93" s="46"/>
      <c r="G93" s="47"/>
      <c r="H93" s="48" t="s">
        <v>426</v>
      </c>
      <c r="I93" s="46" t="s">
        <v>511</v>
      </c>
      <c r="J93" s="321" t="str">
        <f>"[kg/kg] kg of CO2 produced from "&amp;material_input_output!J26&amp;" reaction per kg of rare earth chloride"</f>
        <v>[kg/kg] kg of CO2 produced from Tb reaction per kg of rare earth chloride</v>
      </c>
      <c r="K93" s="322"/>
      <c r="L93" s="322"/>
      <c r="M93" s="322"/>
      <c r="N93" s="322"/>
      <c r="O93" s="322"/>
      <c r="P93" s="323"/>
      <c r="Q93" s="2"/>
      <c r="R93" s="2"/>
      <c r="S93" s="2"/>
      <c r="T93" s="2"/>
      <c r="U93" s="2"/>
      <c r="V93" s="2"/>
      <c r="W93" s="2"/>
      <c r="X93" s="2"/>
      <c r="Y93" s="2"/>
    </row>
    <row r="94" spans="1:25" x14ac:dyDescent="0.25">
      <c r="A94" s="2"/>
      <c r="B94" s="17">
        <f t="shared" si="0"/>
        <v>6</v>
      </c>
      <c r="C94" s="43" t="str">
        <f>material_input_output!J27&amp;"_CO2"</f>
        <v>Dy_CO2</v>
      </c>
      <c r="D94" s="44"/>
      <c r="E94" s="92">
        <f>material_input_output!D135</f>
        <v>0.35025404384467479</v>
      </c>
      <c r="F94" s="46"/>
      <c r="G94" s="47"/>
      <c r="H94" s="48" t="s">
        <v>426</v>
      </c>
      <c r="I94" s="46" t="s">
        <v>511</v>
      </c>
      <c r="J94" s="321" t="str">
        <f>"[kg/kg] kg of CO2 produced from "&amp;material_input_output!J27&amp;" reaction per kg of rare earth chloride"</f>
        <v>[kg/kg] kg of CO2 produced from Dy reaction per kg of rare earth chloride</v>
      </c>
      <c r="K94" s="322"/>
      <c r="L94" s="322"/>
      <c r="M94" s="322"/>
      <c r="N94" s="322"/>
      <c r="O94" s="322"/>
      <c r="P94" s="323"/>
      <c r="Q94" s="2"/>
      <c r="R94" s="2"/>
      <c r="S94" s="2"/>
      <c r="T94" s="2"/>
      <c r="U94" s="2"/>
      <c r="V94" s="2"/>
      <c r="W94" s="2"/>
      <c r="X94" s="2"/>
      <c r="Y94" s="2"/>
    </row>
    <row r="95" spans="1:25" x14ac:dyDescent="0.25">
      <c r="A95" s="2"/>
      <c r="B95" s="17">
        <f t="shared" si="0"/>
        <v>6</v>
      </c>
      <c r="C95" s="43" t="str">
        <f>material_input_output!J28&amp;"_CO2"</f>
        <v>Ho_CO2</v>
      </c>
      <c r="D95" s="44"/>
      <c r="E95" s="92">
        <f>material_input_output!D136</f>
        <v>0.34801031153378797</v>
      </c>
      <c r="F95" s="46"/>
      <c r="G95" s="47"/>
      <c r="H95" s="48" t="s">
        <v>426</v>
      </c>
      <c r="I95" s="46" t="s">
        <v>511</v>
      </c>
      <c r="J95" s="321" t="str">
        <f>"[kg/kg] kg of CO2 produced from "&amp;material_input_output!J28&amp;" reaction per kg of rare earth chloride"</f>
        <v>[kg/kg] kg of CO2 produced from Ho reaction per kg of rare earth chloride</v>
      </c>
      <c r="K95" s="322"/>
      <c r="L95" s="322"/>
      <c r="M95" s="322"/>
      <c r="N95" s="322"/>
      <c r="O95" s="322"/>
      <c r="P95" s="323"/>
      <c r="Q95" s="2"/>
      <c r="R95" s="2"/>
      <c r="S95" s="2"/>
      <c r="T95" s="2"/>
      <c r="U95" s="2"/>
      <c r="V95" s="2"/>
      <c r="W95" s="2"/>
      <c r="X95" s="2"/>
      <c r="Y95" s="2"/>
    </row>
    <row r="96" spans="1:25" x14ac:dyDescent="0.25">
      <c r="A96" s="2"/>
      <c r="B96" s="17">
        <f t="shared" si="0"/>
        <v>6</v>
      </c>
      <c r="C96" s="43" t="str">
        <f>material_input_output!J29&amp;"_CO2"</f>
        <v>Er_CO2</v>
      </c>
      <c r="D96" s="44"/>
      <c r="E96" s="92">
        <f>material_input_output!D137</f>
        <v>0.3458872198368142</v>
      </c>
      <c r="F96" s="46"/>
      <c r="G96" s="47"/>
      <c r="H96" s="48" t="s">
        <v>426</v>
      </c>
      <c r="I96" s="46" t="s">
        <v>511</v>
      </c>
      <c r="J96" s="321" t="str">
        <f>"[kg/kg] kg of CO2 produced from "&amp;material_input_output!J29&amp;" reaction per kg of rare earth chloride"</f>
        <v>[kg/kg] kg of CO2 produced from Er reaction per kg of rare earth chloride</v>
      </c>
      <c r="K96" s="322"/>
      <c r="L96" s="322"/>
      <c r="M96" s="322"/>
      <c r="N96" s="322"/>
      <c r="O96" s="322"/>
      <c r="P96" s="323"/>
      <c r="Q96" s="2"/>
      <c r="R96" s="2"/>
      <c r="S96" s="2"/>
      <c r="T96" s="2"/>
      <c r="U96" s="2"/>
      <c r="V96" s="2"/>
      <c r="W96" s="2"/>
      <c r="X96" s="2"/>
      <c r="Y96" s="2"/>
    </row>
    <row r="97" spans="1:25" x14ac:dyDescent="0.25">
      <c r="A97" s="2"/>
      <c r="B97" s="17">
        <f t="shared" si="0"/>
        <v>6</v>
      </c>
      <c r="C97" s="43" t="str">
        <f>material_input_output!J30&amp;"_CO2"</f>
        <v>Tm_CO2</v>
      </c>
      <c r="D97" s="44"/>
      <c r="E97" s="92">
        <f>material_input_output!D138</f>
        <v>0.34437585685758243</v>
      </c>
      <c r="F97" s="46"/>
      <c r="G97" s="47"/>
      <c r="H97" s="48" t="s">
        <v>426</v>
      </c>
      <c r="I97" s="46" t="s">
        <v>511</v>
      </c>
      <c r="J97" s="321" t="str">
        <f>"[kg/kg] kg of CO2 produced from "&amp;material_input_output!J30&amp;" reaction per kg of rare earth chloride"</f>
        <v>[kg/kg] kg of CO2 produced from Tm reaction per kg of rare earth chloride</v>
      </c>
      <c r="K97" s="322"/>
      <c r="L97" s="322"/>
      <c r="M97" s="322"/>
      <c r="N97" s="322"/>
      <c r="O97" s="322"/>
      <c r="P97" s="323"/>
      <c r="Q97" s="2"/>
      <c r="R97" s="2"/>
      <c r="S97" s="2"/>
      <c r="T97" s="2"/>
      <c r="U97" s="2"/>
      <c r="V97" s="2"/>
      <c r="W97" s="2"/>
      <c r="X97" s="2"/>
      <c r="Y97" s="2"/>
    </row>
    <row r="98" spans="1:25" x14ac:dyDescent="0.25">
      <c r="A98" s="2"/>
      <c r="B98" s="17">
        <f t="shared" si="0"/>
        <v>6</v>
      </c>
      <c r="C98" s="43" t="str">
        <f>material_input_output!J31&amp;"_CO2"</f>
        <v>Yb_CO2</v>
      </c>
      <c r="D98" s="44"/>
      <c r="E98" s="92">
        <f>material_input_output!D139</f>
        <v>0.34072690470903716</v>
      </c>
      <c r="F98" s="46"/>
      <c r="G98" s="47"/>
      <c r="H98" s="48" t="s">
        <v>426</v>
      </c>
      <c r="I98" s="46" t="s">
        <v>511</v>
      </c>
      <c r="J98" s="321" t="str">
        <f>"[kg/kg] kg of CO2 produced from "&amp;material_input_output!J31&amp;" reaction per kg of rare earth chloride"</f>
        <v>[kg/kg] kg of CO2 produced from Yb reaction per kg of rare earth chloride</v>
      </c>
      <c r="K98" s="322"/>
      <c r="L98" s="322"/>
      <c r="M98" s="322"/>
      <c r="N98" s="322"/>
      <c r="O98" s="322"/>
      <c r="P98" s="323"/>
      <c r="Q98" s="2"/>
      <c r="R98" s="2"/>
      <c r="S98" s="2"/>
      <c r="T98" s="2"/>
      <c r="U98" s="2"/>
      <c r="V98" s="2"/>
      <c r="W98" s="2"/>
      <c r="X98" s="2"/>
      <c r="Y98" s="2"/>
    </row>
    <row r="99" spans="1:25" x14ac:dyDescent="0.25">
      <c r="A99" s="2"/>
      <c r="B99" s="17">
        <f t="shared" si="0"/>
        <v>6</v>
      </c>
      <c r="C99" s="43" t="str">
        <f>material_input_output!J32&amp;"_CO2"</f>
        <v>Lu_CO2</v>
      </c>
      <c r="D99" s="44"/>
      <c r="E99" s="92">
        <f>material_input_output!D140</f>
        <v>0.33904084683571634</v>
      </c>
      <c r="F99" s="46"/>
      <c r="G99" s="47"/>
      <c r="H99" s="48" t="s">
        <v>426</v>
      </c>
      <c r="I99" s="46" t="s">
        <v>511</v>
      </c>
      <c r="J99" s="321" t="str">
        <f>"[kg/kg] kg of CO2 produced from "&amp;material_input_output!J32&amp;" reaction per kg of rare earth chloride"</f>
        <v>[kg/kg] kg of CO2 produced from Lu reaction per kg of rare earth chloride</v>
      </c>
      <c r="K99" s="322"/>
      <c r="L99" s="322"/>
      <c r="M99" s="322"/>
      <c r="N99" s="322"/>
      <c r="O99" s="322"/>
      <c r="P99" s="323"/>
      <c r="Q99" s="2"/>
      <c r="R99" s="2"/>
      <c r="S99" s="2"/>
      <c r="T99" s="2"/>
      <c r="U99" s="2"/>
      <c r="V99" s="2"/>
      <c r="W99" s="2"/>
      <c r="X99" s="2"/>
      <c r="Y99" s="2"/>
    </row>
    <row r="100" spans="1:25" x14ac:dyDescent="0.25">
      <c r="A100" s="2"/>
      <c r="B100" s="17">
        <f t="shared" si="0"/>
        <v>5</v>
      </c>
      <c r="C100" s="43" t="str">
        <f>material_input_output!J33&amp;"_CO2"</f>
        <v>Y_CO2</v>
      </c>
      <c r="D100" s="44"/>
      <c r="E100" s="92">
        <f>material_input_output!D141</f>
        <v>0.43522550841414226</v>
      </c>
      <c r="F100" s="46"/>
      <c r="G100" s="47"/>
      <c r="H100" s="48" t="s">
        <v>426</v>
      </c>
      <c r="I100" s="46" t="s">
        <v>511</v>
      </c>
      <c r="J100" s="321" t="str">
        <f>"[kg/kg] kg of CO2 produced from "&amp;material_input_output!J33&amp;" reaction per kg of rare earth chloride"</f>
        <v>[kg/kg] kg of CO2 produced from Y reaction per kg of rare earth chloride</v>
      </c>
      <c r="K100" s="322"/>
      <c r="L100" s="322"/>
      <c r="M100" s="322"/>
      <c r="N100" s="322"/>
      <c r="O100" s="322"/>
      <c r="P100" s="323"/>
      <c r="Q100" s="2"/>
      <c r="R100" s="2"/>
      <c r="S100" s="2"/>
      <c r="T100" s="2"/>
      <c r="U100" s="2"/>
      <c r="V100" s="2"/>
      <c r="W100" s="2"/>
      <c r="X100" s="2"/>
      <c r="Y100" s="2"/>
    </row>
    <row r="101" spans="1:25" ht="64.5" x14ac:dyDescent="0.25">
      <c r="A101" s="2"/>
      <c r="B101" s="17">
        <f t="shared" si="0"/>
        <v>3</v>
      </c>
      <c r="C101" s="43" t="s">
        <v>313</v>
      </c>
      <c r="D101" s="44" t="s">
        <v>420</v>
      </c>
      <c r="E101" s="92">
        <f>E86*$E$23+E87*$E$24+E88*$E$25+E89*$E$26+E90*$E$27+E91*$E$28+E92*$E$29+E93*$E$30+E94*$E$31+E95*$E$32+E96*$E$33+E97*$E$34+E98*$E$35+E99*$E$36+E100*$E$37</f>
        <v>0.43522550841414226</v>
      </c>
      <c r="F101" s="46"/>
      <c r="G101" s="47"/>
      <c r="H101" s="48" t="s">
        <v>426</v>
      </c>
      <c r="I101" s="46" t="s">
        <v>511</v>
      </c>
      <c r="J101" s="321" t="s">
        <v>459</v>
      </c>
      <c r="K101" s="322"/>
      <c r="L101" s="322"/>
      <c r="M101" s="322"/>
      <c r="N101" s="322"/>
      <c r="O101" s="322"/>
      <c r="P101" s="323"/>
      <c r="Q101" s="2"/>
      <c r="R101" s="2"/>
      <c r="S101" s="2"/>
      <c r="T101" s="2"/>
      <c r="U101" s="2"/>
      <c r="V101" s="2"/>
      <c r="W101" s="2"/>
      <c r="X101" s="2"/>
      <c r="Y101" s="2"/>
    </row>
    <row r="102" spans="1:25" x14ac:dyDescent="0.25">
      <c r="A102" s="2"/>
      <c r="B102" s="17">
        <f t="shared" si="0"/>
        <v>10</v>
      </c>
      <c r="C102" s="43" t="str">
        <f>material_input_output!J19&amp;"_h2o_out"</f>
        <v>Ce_h2o_out</v>
      </c>
      <c r="D102" s="44"/>
      <c r="E102" s="92">
        <f>material_input_output!F127</f>
        <v>0.25404643211257188</v>
      </c>
      <c r="F102" s="46"/>
      <c r="G102" s="47"/>
      <c r="H102" s="48" t="s">
        <v>426</v>
      </c>
      <c r="I102" s="46" t="s">
        <v>511</v>
      </c>
      <c r="J102" s="321" t="str">
        <f>"[kg/kg] kg of water produced from "&amp;material_input_output!J19&amp;" reaction per kg of rare earth chloride"</f>
        <v>[kg/kg] kg of water produced from Ce reaction per kg of rare earth chloride</v>
      </c>
      <c r="K102" s="322"/>
      <c r="L102" s="322"/>
      <c r="M102" s="322"/>
      <c r="N102" s="322"/>
      <c r="O102" s="322"/>
      <c r="P102" s="323"/>
      <c r="Q102" s="2"/>
      <c r="R102" s="2"/>
      <c r="S102" s="2"/>
      <c r="T102" s="2"/>
      <c r="U102" s="2"/>
      <c r="V102" s="2"/>
      <c r="W102" s="2"/>
      <c r="X102" s="2"/>
      <c r="Y102" s="2"/>
    </row>
    <row r="103" spans="1:25" x14ac:dyDescent="0.25">
      <c r="A103" s="2"/>
      <c r="B103" s="17">
        <f t="shared" si="0"/>
        <v>10</v>
      </c>
      <c r="C103" s="43" t="str">
        <f>material_input_output!J20&amp;"_h2o_out"</f>
        <v>La_h2o_out</v>
      </c>
      <c r="D103" s="44"/>
      <c r="E103" s="92">
        <f>material_input_output!F128</f>
        <v>0.25491674617804161</v>
      </c>
      <c r="F103" s="46"/>
      <c r="G103" s="47"/>
      <c r="H103" s="48" t="s">
        <v>426</v>
      </c>
      <c r="I103" s="46" t="s">
        <v>511</v>
      </c>
      <c r="J103" s="321" t="str">
        <f>"[kg/kg] kg of water produced from "&amp;material_input_output!J20&amp;" reaction per kg of rare earth chloride"</f>
        <v>[kg/kg] kg of water produced from La reaction per kg of rare earth chloride</v>
      </c>
      <c r="K103" s="322"/>
      <c r="L103" s="322"/>
      <c r="M103" s="322"/>
      <c r="N103" s="322"/>
      <c r="O103" s="322"/>
      <c r="P103" s="323"/>
      <c r="Q103" s="2"/>
      <c r="R103" s="2"/>
      <c r="S103" s="2"/>
      <c r="T103" s="2"/>
      <c r="U103" s="2"/>
      <c r="V103" s="2"/>
      <c r="W103" s="2"/>
      <c r="X103" s="2"/>
      <c r="Y103" s="2"/>
    </row>
    <row r="104" spans="1:25" x14ac:dyDescent="0.25">
      <c r="A104" s="2"/>
      <c r="B104" s="17">
        <f t="shared" si="0"/>
        <v>10</v>
      </c>
      <c r="C104" s="43" t="str">
        <f>material_input_output!J21&amp;"_h2o_out"</f>
        <v>Pr_h2o_out</v>
      </c>
      <c r="D104" s="44"/>
      <c r="E104" s="92">
        <f>material_input_output!F129</f>
        <v>0.25348047983003524</v>
      </c>
      <c r="F104" s="46"/>
      <c r="G104" s="47"/>
      <c r="H104" s="48" t="s">
        <v>426</v>
      </c>
      <c r="I104" s="46" t="s">
        <v>511</v>
      </c>
      <c r="J104" s="321" t="str">
        <f>"[kg/kg] kg of water produced from "&amp;material_input_output!J21&amp;" reaction per kg of rare earth chloride"</f>
        <v>[kg/kg] kg of water produced from Pr reaction per kg of rare earth chloride</v>
      </c>
      <c r="K104" s="322"/>
      <c r="L104" s="322"/>
      <c r="M104" s="322"/>
      <c r="N104" s="322"/>
      <c r="O104" s="322"/>
      <c r="P104" s="323"/>
      <c r="Q104" s="2"/>
      <c r="R104" s="2"/>
      <c r="S104" s="2"/>
      <c r="T104" s="2"/>
      <c r="U104" s="2"/>
      <c r="V104" s="2"/>
      <c r="W104" s="2"/>
      <c r="X104" s="2"/>
      <c r="Y104" s="2"/>
    </row>
    <row r="105" spans="1:25" x14ac:dyDescent="0.25">
      <c r="A105" s="2"/>
      <c r="B105" s="17">
        <f t="shared" si="0"/>
        <v>10</v>
      </c>
      <c r="C105" s="43" t="str">
        <f>material_input_output!J22&amp;"_h2o_out"</f>
        <v>Nd_h2o_out</v>
      </c>
      <c r="D105" s="44"/>
      <c r="E105" s="92">
        <f>material_input_output!F130</f>
        <v>0.25112416567854134</v>
      </c>
      <c r="F105" s="46"/>
      <c r="G105" s="47"/>
      <c r="H105" s="48" t="s">
        <v>426</v>
      </c>
      <c r="I105" s="46" t="s">
        <v>511</v>
      </c>
      <c r="J105" s="321" t="str">
        <f>"[kg/kg] kg of water produced from "&amp;material_input_output!J22&amp;" reaction per kg of rare earth chloride"</f>
        <v>[kg/kg] kg of water produced from Nd reaction per kg of rare earth chloride</v>
      </c>
      <c r="K105" s="322"/>
      <c r="L105" s="322"/>
      <c r="M105" s="322"/>
      <c r="N105" s="322"/>
      <c r="O105" s="322"/>
      <c r="P105" s="323"/>
      <c r="Q105" s="2"/>
      <c r="R105" s="2"/>
      <c r="S105" s="2"/>
      <c r="T105" s="2"/>
      <c r="U105" s="2"/>
      <c r="V105" s="2"/>
      <c r="W105" s="2"/>
      <c r="X105" s="2"/>
      <c r="Y105" s="2"/>
    </row>
    <row r="106" spans="1:25" x14ac:dyDescent="0.25">
      <c r="A106" s="2"/>
      <c r="B106" s="17">
        <f t="shared" si="0"/>
        <v>10</v>
      </c>
      <c r="C106" s="43" t="str">
        <f>material_input_output!J23&amp;"_h2o_out"</f>
        <v>Sm_h2o_out</v>
      </c>
      <c r="D106" s="44"/>
      <c r="E106" s="92">
        <f>material_input_output!F131</f>
        <v>0.24691272744536971</v>
      </c>
      <c r="F106" s="46"/>
      <c r="G106" s="47"/>
      <c r="H106" s="48" t="s">
        <v>426</v>
      </c>
      <c r="I106" s="46" t="s">
        <v>511</v>
      </c>
      <c r="J106" s="321" t="str">
        <f>"[kg/kg] kg of water produced from "&amp;material_input_output!J23&amp;" reaction per kg of rare earth chloride"</f>
        <v>[kg/kg] kg of water produced from Sm reaction per kg of rare earth chloride</v>
      </c>
      <c r="K106" s="322"/>
      <c r="L106" s="322"/>
      <c r="M106" s="322"/>
      <c r="N106" s="322"/>
      <c r="O106" s="322"/>
      <c r="P106" s="323"/>
      <c r="Q106" s="2"/>
      <c r="R106" s="2"/>
      <c r="S106" s="2"/>
      <c r="T106" s="2"/>
      <c r="U106" s="2"/>
      <c r="V106" s="2"/>
      <c r="W106" s="2"/>
      <c r="X106" s="2"/>
      <c r="Y106" s="2"/>
    </row>
    <row r="107" spans="1:25" x14ac:dyDescent="0.25">
      <c r="A107" s="2"/>
      <c r="B107" s="17">
        <f t="shared" si="0"/>
        <v>10</v>
      </c>
      <c r="C107" s="43" t="str">
        <f>material_input_output!J24&amp;"_h2o_out"</f>
        <v>Eu_h2o_out</v>
      </c>
      <c r="D107" s="44"/>
      <c r="E107" s="92">
        <f>material_input_output!F132</f>
        <v>0.24583185368009822</v>
      </c>
      <c r="F107" s="46"/>
      <c r="G107" s="47"/>
      <c r="H107" s="48" t="s">
        <v>426</v>
      </c>
      <c r="I107" s="46" t="s">
        <v>511</v>
      </c>
      <c r="J107" s="321" t="str">
        <f>"[kg/kg] kg of water produced from "&amp;material_input_output!J24&amp;" reaction per kg of rare earth chloride"</f>
        <v>[kg/kg] kg of water produced from Eu reaction per kg of rare earth chloride</v>
      </c>
      <c r="K107" s="322"/>
      <c r="L107" s="322"/>
      <c r="M107" s="322"/>
      <c r="N107" s="322"/>
      <c r="O107" s="322"/>
      <c r="P107" s="323"/>
      <c r="Q107" s="2"/>
      <c r="R107" s="2"/>
      <c r="S107" s="2"/>
      <c r="T107" s="2"/>
      <c r="U107" s="2"/>
      <c r="V107" s="2"/>
      <c r="W107" s="2"/>
      <c r="X107" s="2"/>
      <c r="Y107" s="2"/>
    </row>
    <row r="108" spans="1:25" x14ac:dyDescent="0.25">
      <c r="A108" s="2"/>
      <c r="B108" s="17">
        <f t="shared" si="0"/>
        <v>10</v>
      </c>
      <c r="C108" s="43" t="str">
        <f>material_input_output!J25&amp;"_h2o_out"</f>
        <v>Gd_h2o_out</v>
      </c>
      <c r="D108" s="44"/>
      <c r="E108" s="92">
        <f>material_input_output!F133</f>
        <v>0.24233584937213459</v>
      </c>
      <c r="F108" s="46"/>
      <c r="G108" s="47"/>
      <c r="H108" s="48" t="s">
        <v>426</v>
      </c>
      <c r="I108" s="46" t="s">
        <v>511</v>
      </c>
      <c r="J108" s="321" t="str">
        <f>"[kg/kg] kg of water produced from "&amp;material_input_output!J25&amp;" reaction per kg of rare earth chloride"</f>
        <v>[kg/kg] kg of water produced from Gd reaction per kg of rare earth chloride</v>
      </c>
      <c r="K108" s="322"/>
      <c r="L108" s="322"/>
      <c r="M108" s="322"/>
      <c r="N108" s="322"/>
      <c r="O108" s="322"/>
      <c r="P108" s="323"/>
      <c r="Q108" s="2"/>
      <c r="R108" s="2"/>
      <c r="S108" s="2"/>
      <c r="T108" s="2"/>
      <c r="U108" s="2"/>
      <c r="V108" s="2"/>
      <c r="W108" s="2"/>
      <c r="X108" s="2"/>
      <c r="Y108" s="2"/>
    </row>
    <row r="109" spans="1:25" x14ac:dyDescent="0.25">
      <c r="A109" s="2"/>
      <c r="B109" s="17">
        <f t="shared" si="0"/>
        <v>10</v>
      </c>
      <c r="C109" s="43" t="str">
        <f>material_input_output!J26&amp;"_h2o_out"</f>
        <v>Tb_h2o_out</v>
      </c>
      <c r="D109" s="44"/>
      <c r="E109" s="92">
        <f>material_input_output!F134</f>
        <v>0.4824969615751713</v>
      </c>
      <c r="F109" s="46"/>
      <c r="G109" s="47"/>
      <c r="H109" s="48" t="s">
        <v>426</v>
      </c>
      <c r="I109" s="46" t="s">
        <v>511</v>
      </c>
      <c r="J109" s="321" t="str">
        <f>"[kg/kg] kg of water produced from "&amp;material_input_output!J26&amp;" reaction per kg of rare earth chloride"</f>
        <v>[kg/kg] kg of water produced from Tb reaction per kg of rare earth chloride</v>
      </c>
      <c r="K109" s="322"/>
      <c r="L109" s="322"/>
      <c r="M109" s="322"/>
      <c r="N109" s="322"/>
      <c r="O109" s="322"/>
      <c r="P109" s="323"/>
      <c r="Q109" s="2"/>
      <c r="R109" s="2"/>
      <c r="S109" s="2"/>
      <c r="T109" s="2"/>
      <c r="U109" s="2"/>
      <c r="V109" s="2"/>
      <c r="W109" s="2"/>
      <c r="X109" s="2"/>
      <c r="Y109" s="2"/>
    </row>
    <row r="110" spans="1:25" x14ac:dyDescent="0.25">
      <c r="A110" s="2"/>
      <c r="B110" s="17">
        <f t="shared" si="0"/>
        <v>10</v>
      </c>
      <c r="C110" s="43" t="str">
        <f>material_input_output!J27&amp;"_h2o_out"</f>
        <v>Dy_h2o_out</v>
      </c>
      <c r="D110" s="44"/>
      <c r="E110" s="92">
        <f>material_input_output!F135</f>
        <v>0.23896070435527536</v>
      </c>
      <c r="F110" s="46"/>
      <c r="G110" s="47"/>
      <c r="H110" s="48" t="s">
        <v>426</v>
      </c>
      <c r="I110" s="46" t="s">
        <v>511</v>
      </c>
      <c r="J110" s="321" t="str">
        <f>"[kg/kg] kg of water produced from "&amp;material_input_output!J27&amp;" reaction per kg of rare earth chloride"</f>
        <v>[kg/kg] kg of water produced from Dy reaction per kg of rare earth chloride</v>
      </c>
      <c r="K110" s="322"/>
      <c r="L110" s="322"/>
      <c r="M110" s="322"/>
      <c r="N110" s="322"/>
      <c r="O110" s="322"/>
      <c r="P110" s="323"/>
      <c r="Q110" s="2"/>
      <c r="R110" s="2"/>
      <c r="S110" s="2"/>
      <c r="T110" s="2"/>
      <c r="U110" s="2"/>
      <c r="V110" s="2"/>
      <c r="W110" s="2"/>
      <c r="X110" s="2"/>
      <c r="Y110" s="2"/>
    </row>
    <row r="111" spans="1:25" x14ac:dyDescent="0.25">
      <c r="A111" s="2"/>
      <c r="B111" s="17">
        <f t="shared" si="0"/>
        <v>10</v>
      </c>
      <c r="C111" s="43" t="str">
        <f>material_input_output!J28&amp;"_h2o_out"</f>
        <v>Ho_h2o_out</v>
      </c>
      <c r="D111" s="44"/>
      <c r="E111" s="92">
        <f>material_input_output!F136</f>
        <v>0.23742991873604641</v>
      </c>
      <c r="F111" s="46"/>
      <c r="G111" s="47"/>
      <c r="H111" s="48" t="s">
        <v>426</v>
      </c>
      <c r="I111" s="46" t="s">
        <v>511</v>
      </c>
      <c r="J111" s="321" t="str">
        <f>"[kg/kg] kg of water produced from "&amp;material_input_output!J28&amp;" reaction per kg of rare earth chloride"</f>
        <v>[kg/kg] kg of water produced from Ho reaction per kg of rare earth chloride</v>
      </c>
      <c r="K111" s="322"/>
      <c r="L111" s="322"/>
      <c r="M111" s="322"/>
      <c r="N111" s="322"/>
      <c r="O111" s="322"/>
      <c r="P111" s="323"/>
      <c r="Q111" s="2"/>
      <c r="R111" s="2"/>
      <c r="S111" s="2"/>
      <c r="T111" s="2"/>
      <c r="U111" s="2"/>
      <c r="V111" s="2"/>
      <c r="W111" s="2"/>
      <c r="X111" s="2"/>
      <c r="Y111" s="2"/>
    </row>
    <row r="112" spans="1:25" x14ac:dyDescent="0.25">
      <c r="A112" s="2"/>
      <c r="B112" s="17">
        <f t="shared" si="0"/>
        <v>10</v>
      </c>
      <c r="C112" s="43" t="str">
        <f>material_input_output!J29&amp;"_h2o_out"</f>
        <v>Er_h2o_out</v>
      </c>
      <c r="D112" s="44"/>
      <c r="E112" s="92">
        <f>material_input_output!F137</f>
        <v>0.23598144013534059</v>
      </c>
      <c r="F112" s="46"/>
      <c r="G112" s="47"/>
      <c r="H112" s="48" t="s">
        <v>426</v>
      </c>
      <c r="I112" s="46" t="s">
        <v>511</v>
      </c>
      <c r="J112" s="321" t="str">
        <f>"[kg/kg] kg of water produced from "&amp;material_input_output!J29&amp;" reaction per kg of rare earth chloride"</f>
        <v>[kg/kg] kg of water produced from Er reaction per kg of rare earth chloride</v>
      </c>
      <c r="K112" s="322"/>
      <c r="L112" s="322"/>
      <c r="M112" s="322"/>
      <c r="N112" s="322"/>
      <c r="O112" s="322"/>
      <c r="P112" s="323"/>
      <c r="Q112" s="2"/>
      <c r="R112" s="2"/>
      <c r="S112" s="2"/>
      <c r="T112" s="2"/>
      <c r="U112" s="2"/>
      <c r="V112" s="2"/>
      <c r="W112" s="2"/>
      <c r="X112" s="2"/>
      <c r="Y112" s="2"/>
    </row>
    <row r="113" spans="1:25" x14ac:dyDescent="0.25">
      <c r="A113" s="2"/>
      <c r="B113" s="17">
        <f t="shared" si="0"/>
        <v>10</v>
      </c>
      <c r="C113" s="43" t="str">
        <f>material_input_output!J30&amp;"_h2o_out"</f>
        <v>Tm_h2o_out</v>
      </c>
      <c r="D113" s="44"/>
      <c r="E113" s="92">
        <f>material_input_output!F138</f>
        <v>0.23495031324786955</v>
      </c>
      <c r="F113" s="46"/>
      <c r="G113" s="47"/>
      <c r="H113" s="48" t="s">
        <v>426</v>
      </c>
      <c r="I113" s="46" t="s">
        <v>511</v>
      </c>
      <c r="J113" s="321" t="str">
        <f>"[kg/kg] kg of water produced from "&amp;material_input_output!J30&amp;" reaction per kg of rare earth chloride"</f>
        <v>[kg/kg] kg of water produced from Tm reaction per kg of rare earth chloride</v>
      </c>
      <c r="K113" s="322"/>
      <c r="L113" s="322"/>
      <c r="M113" s="322"/>
      <c r="N113" s="322"/>
      <c r="O113" s="322"/>
      <c r="P113" s="323"/>
      <c r="Q113" s="2"/>
      <c r="R113" s="2"/>
      <c r="S113" s="2"/>
      <c r="T113" s="2"/>
      <c r="U113" s="2"/>
      <c r="V113" s="2"/>
      <c r="W113" s="2"/>
      <c r="X113" s="2"/>
      <c r="Y113" s="2"/>
    </row>
    <row r="114" spans="1:25" x14ac:dyDescent="0.25">
      <c r="A114" s="2"/>
      <c r="B114" s="17">
        <f t="shared" si="0"/>
        <v>10</v>
      </c>
      <c r="C114" s="43" t="str">
        <f>material_input_output!J31&amp;"_h2o_out"</f>
        <v>Yb_h2o_out</v>
      </c>
      <c r="D114" s="44"/>
      <c r="E114" s="92">
        <f>material_input_output!F139</f>
        <v>0.23246081686403403</v>
      </c>
      <c r="F114" s="46"/>
      <c r="G114" s="47"/>
      <c r="H114" s="48" t="s">
        <v>426</v>
      </c>
      <c r="I114" s="46" t="s">
        <v>511</v>
      </c>
      <c r="J114" s="321" t="str">
        <f>"[kg/kg] kg of water produced from "&amp;material_input_output!J31&amp;" reaction per kg of rare earth chloride"</f>
        <v>[kg/kg] kg of water produced from Yb reaction per kg of rare earth chloride</v>
      </c>
      <c r="K114" s="322"/>
      <c r="L114" s="322"/>
      <c r="M114" s="322"/>
      <c r="N114" s="322"/>
      <c r="O114" s="322"/>
      <c r="P114" s="323"/>
      <c r="Q114" s="2"/>
      <c r="R114" s="2"/>
      <c r="S114" s="2"/>
      <c r="T114" s="2"/>
      <c r="U114" s="2"/>
      <c r="V114" s="2"/>
      <c r="W114" s="2"/>
      <c r="X114" s="2"/>
      <c r="Y114" s="2"/>
    </row>
    <row r="115" spans="1:25" x14ac:dyDescent="0.25">
      <c r="A115" s="2"/>
      <c r="B115" s="17">
        <f t="shared" si="0"/>
        <v>10</v>
      </c>
      <c r="C115" s="43" t="str">
        <f>material_input_output!J32&amp;"_h2o_out"</f>
        <v>Lu_h2o_out</v>
      </c>
      <c r="D115" s="44"/>
      <c r="E115" s="92">
        <f>material_input_output!F140</f>
        <v>0.23131050444345516</v>
      </c>
      <c r="F115" s="46"/>
      <c r="G115" s="47"/>
      <c r="H115" s="48" t="s">
        <v>426</v>
      </c>
      <c r="I115" s="46" t="s">
        <v>511</v>
      </c>
      <c r="J115" s="321" t="str">
        <f>"[kg/kg] kg of water produced from "&amp;material_input_output!J32&amp;" reaction per kg of rare earth chloride"</f>
        <v>[kg/kg] kg of water produced from Lu reaction per kg of rare earth chloride</v>
      </c>
      <c r="K115" s="322"/>
      <c r="L115" s="322"/>
      <c r="M115" s="322"/>
      <c r="N115" s="322"/>
      <c r="O115" s="322"/>
      <c r="P115" s="323"/>
      <c r="Q115" s="2"/>
      <c r="R115" s="2"/>
      <c r="S115" s="2"/>
      <c r="T115" s="2"/>
      <c r="U115" s="2"/>
      <c r="V115" s="2"/>
      <c r="W115" s="2"/>
      <c r="X115" s="2"/>
      <c r="Y115" s="2"/>
    </row>
    <row r="116" spans="1:25" x14ac:dyDescent="0.25">
      <c r="A116" s="2"/>
      <c r="B116" s="17">
        <f t="shared" si="0"/>
        <v>9</v>
      </c>
      <c r="C116" s="43" t="str">
        <f>material_input_output!J33&amp;"_h2o_out"</f>
        <v>Y_h2o_out</v>
      </c>
      <c r="D116" s="44"/>
      <c r="E116" s="92">
        <f>material_input_output!F141</f>
        <v>0.29693245765963894</v>
      </c>
      <c r="F116" s="46"/>
      <c r="G116" s="47"/>
      <c r="H116" s="48" t="s">
        <v>426</v>
      </c>
      <c r="I116" s="46" t="s">
        <v>511</v>
      </c>
      <c r="J116" s="321" t="str">
        <f>"[kg/kg] kg of water produced from "&amp;material_input_output!J33&amp;" reaction per kg of rare earth chloride"</f>
        <v>[kg/kg] kg of water produced from Y reaction per kg of rare earth chloride</v>
      </c>
      <c r="K116" s="322"/>
      <c r="L116" s="322"/>
      <c r="M116" s="322"/>
      <c r="N116" s="322"/>
      <c r="O116" s="322"/>
      <c r="P116" s="323"/>
      <c r="Q116" s="2"/>
      <c r="R116" s="2"/>
      <c r="S116" s="2"/>
      <c r="T116" s="2"/>
      <c r="U116" s="2"/>
      <c r="V116" s="2"/>
      <c r="W116" s="2"/>
      <c r="X116" s="2"/>
      <c r="Y116" s="2"/>
    </row>
    <row r="117" spans="1:25" ht="64.5" x14ac:dyDescent="0.25">
      <c r="A117" s="2"/>
      <c r="B117" s="17">
        <f t="shared" si="0"/>
        <v>7</v>
      </c>
      <c r="C117" s="43" t="s">
        <v>422</v>
      </c>
      <c r="D117" s="44" t="s">
        <v>421</v>
      </c>
      <c r="E117" s="92">
        <f>E102*$E$23+E103*$E$24+E104*$E$25+E105*$E$26+E106*$E$27+E107*$E$28+E108*$E$29+E109*$E$30+E110*$E$31+E111*$E$32+E112*$E$33+E113*$E$34+E114*$E$35+E115*$E$36+E116*$E$37</f>
        <v>0.29693245765963894</v>
      </c>
      <c r="F117" s="46"/>
      <c r="G117" s="47"/>
      <c r="H117" s="48" t="s">
        <v>426</v>
      </c>
      <c r="I117" s="46" t="s">
        <v>511</v>
      </c>
      <c r="J117" s="321" t="s">
        <v>461</v>
      </c>
      <c r="K117" s="322"/>
      <c r="L117" s="322"/>
      <c r="M117" s="322"/>
      <c r="N117" s="322"/>
      <c r="O117" s="322"/>
      <c r="P117" s="323"/>
      <c r="Q117" s="2"/>
      <c r="R117" s="2"/>
      <c r="S117" s="2"/>
      <c r="T117" s="2"/>
      <c r="U117" s="2"/>
      <c r="V117" s="2"/>
      <c r="W117" s="2"/>
      <c r="X117" s="2"/>
      <c r="Y117" s="2"/>
    </row>
    <row r="118" spans="1:25" x14ac:dyDescent="0.25">
      <c r="A118" s="2"/>
      <c r="B118" s="17">
        <f t="shared" si="0"/>
        <v>8</v>
      </c>
      <c r="C118" s="43" t="str">
        <f>material_input_output!J19&amp;"_m_out"</f>
        <v>Ce_m_out</v>
      </c>
      <c r="D118" s="44"/>
      <c r="E118" s="92">
        <f>material_input_output!C127</f>
        <v>0.48542293934669778</v>
      </c>
      <c r="F118" s="46"/>
      <c r="G118" s="47"/>
      <c r="H118" s="48" t="s">
        <v>426</v>
      </c>
      <c r="I118" s="46" t="s">
        <v>511</v>
      </c>
      <c r="J118" s="321" t="str">
        <f>"[kg/kg] kg of "&amp;material_input_output!A127&amp;" produced per kg of rare earth chloride"</f>
        <v>[kg/kg] kg of CeO₂ produced per kg of rare earth chloride</v>
      </c>
      <c r="K118" s="322"/>
      <c r="L118" s="322"/>
      <c r="M118" s="322"/>
      <c r="N118" s="322"/>
      <c r="O118" s="322"/>
      <c r="P118" s="323"/>
      <c r="Q118" s="2"/>
      <c r="R118" s="2"/>
      <c r="S118" s="2"/>
      <c r="T118" s="2"/>
      <c r="U118" s="2"/>
      <c r="V118" s="2"/>
      <c r="W118" s="2"/>
      <c r="X118" s="2"/>
      <c r="Y118" s="2"/>
    </row>
    <row r="119" spans="1:25" x14ac:dyDescent="0.25">
      <c r="A119" s="2"/>
      <c r="B119" s="17">
        <f t="shared" si="0"/>
        <v>8</v>
      </c>
      <c r="C119" s="43" t="str">
        <f>material_input_output!J20&amp;"_m_out"</f>
        <v>La_m_out</v>
      </c>
      <c r="D119" s="44"/>
      <c r="E119" s="92">
        <f>material_input_output!C128</f>
        <v>0.46102089916929412</v>
      </c>
      <c r="F119" s="46"/>
      <c r="G119" s="47"/>
      <c r="H119" s="48" t="s">
        <v>426</v>
      </c>
      <c r="I119" s="46" t="s">
        <v>511</v>
      </c>
      <c r="J119" s="321" t="str">
        <f>"[kg/kg] kg of "&amp;material_input_output!A128&amp;" produced per kg of rare earth chloride"</f>
        <v>[kg/kg] kg of La₂O₃ produced per kg of rare earth chloride</v>
      </c>
      <c r="K119" s="322"/>
      <c r="L119" s="322"/>
      <c r="M119" s="322"/>
      <c r="N119" s="322"/>
      <c r="O119" s="322"/>
      <c r="P119" s="323"/>
      <c r="Q119" s="2"/>
      <c r="R119" s="2"/>
      <c r="S119" s="2"/>
      <c r="T119" s="2"/>
      <c r="U119" s="2"/>
      <c r="V119" s="2"/>
      <c r="W119" s="2"/>
      <c r="X119" s="2"/>
      <c r="Y119" s="2"/>
    </row>
    <row r="120" spans="1:25" x14ac:dyDescent="0.25">
      <c r="A120" s="2"/>
      <c r="B120" s="17">
        <f t="shared" si="0"/>
        <v>8</v>
      </c>
      <c r="C120" s="43" t="str">
        <f>material_input_output!J21&amp;"_m_out"</f>
        <v>Pr_m_out</v>
      </c>
      <c r="D120" s="44"/>
      <c r="E120" s="92">
        <f>material_input_output!C129</f>
        <v>0.47906540795971581</v>
      </c>
      <c r="F120" s="46"/>
      <c r="G120" s="47"/>
      <c r="H120" s="48" t="s">
        <v>426</v>
      </c>
      <c r="I120" s="46" t="s">
        <v>511</v>
      </c>
      <c r="J120" s="321" t="str">
        <f>"[kg/kg] kg of "&amp;material_input_output!A129&amp;" produced per kg of rare earth chloride"</f>
        <v>[kg/kg] kg of Pr₆O₁₁ produced per kg of rare earth chloride</v>
      </c>
      <c r="K120" s="322"/>
      <c r="L120" s="322"/>
      <c r="M120" s="322"/>
      <c r="N120" s="322"/>
      <c r="O120" s="322"/>
      <c r="P120" s="323"/>
      <c r="Q120" s="2"/>
      <c r="R120" s="2"/>
      <c r="S120" s="2"/>
      <c r="T120" s="2"/>
      <c r="U120" s="2"/>
      <c r="V120" s="2"/>
      <c r="W120" s="2"/>
      <c r="X120" s="2"/>
      <c r="Y120" s="2"/>
    </row>
    <row r="121" spans="1:25" x14ac:dyDescent="0.25">
      <c r="A121" s="2"/>
      <c r="B121" s="17">
        <f t="shared" si="0"/>
        <v>8</v>
      </c>
      <c r="C121" s="43" t="str">
        <f>material_input_output!J22&amp;"_m_out"</f>
        <v>Nd_m_out</v>
      </c>
      <c r="D121" s="44"/>
      <c r="E121" s="92">
        <f>material_input_output!C130</f>
        <v>0.46903968043061262</v>
      </c>
      <c r="F121" s="46"/>
      <c r="G121" s="47"/>
      <c r="H121" s="48" t="s">
        <v>426</v>
      </c>
      <c r="I121" s="46" t="s">
        <v>511</v>
      </c>
      <c r="J121" s="321" t="str">
        <f>"[kg/kg] kg of "&amp;material_input_output!A130&amp;" produced per kg of rare earth chloride"</f>
        <v>[kg/kg] kg of Nd₂O₃ produced per kg of rare earth chloride</v>
      </c>
      <c r="K121" s="322"/>
      <c r="L121" s="322"/>
      <c r="M121" s="322"/>
      <c r="N121" s="322"/>
      <c r="O121" s="322"/>
      <c r="P121" s="323"/>
      <c r="Q121" s="2"/>
      <c r="R121" s="2"/>
      <c r="S121" s="2"/>
      <c r="T121" s="2"/>
      <c r="U121" s="2"/>
      <c r="V121" s="2"/>
      <c r="W121" s="2"/>
      <c r="X121" s="2"/>
      <c r="Y121" s="2"/>
    </row>
    <row r="122" spans="1:25" x14ac:dyDescent="0.25">
      <c r="A122" s="2"/>
      <c r="B122" s="17">
        <f t="shared" si="0"/>
        <v>8</v>
      </c>
      <c r="C122" s="43" t="str">
        <f>material_input_output!J23&amp;"_m_out"</f>
        <v>Sm_m_out</v>
      </c>
      <c r="D122" s="44"/>
      <c r="E122" s="92">
        <f>material_input_output!C131</f>
        <v>0.47794406676909784</v>
      </c>
      <c r="F122" s="46"/>
      <c r="G122" s="47"/>
      <c r="H122" s="48" t="s">
        <v>426</v>
      </c>
      <c r="I122" s="46" t="s">
        <v>511</v>
      </c>
      <c r="J122" s="321" t="str">
        <f>"[kg/kg] kg of "&amp;material_input_output!A131&amp;" produced per kg of rare earth chloride"</f>
        <v>[kg/kg] kg of Sm₂O₃ produced per kg of rare earth chloride</v>
      </c>
      <c r="K122" s="322"/>
      <c r="L122" s="322"/>
      <c r="M122" s="322"/>
      <c r="N122" s="322"/>
      <c r="O122" s="322"/>
      <c r="P122" s="323"/>
      <c r="Q122" s="2"/>
      <c r="R122" s="2"/>
      <c r="S122" s="2"/>
      <c r="T122" s="2"/>
      <c r="U122" s="2"/>
      <c r="V122" s="2"/>
      <c r="W122" s="2"/>
      <c r="X122" s="2"/>
      <c r="Y122" s="2"/>
    </row>
    <row r="123" spans="1:25" x14ac:dyDescent="0.25">
      <c r="A123" s="2"/>
      <c r="B123" s="17">
        <f t="shared" si="0"/>
        <v>8</v>
      </c>
      <c r="C123" s="43" t="str">
        <f>material_input_output!J24&amp;"_m_out"</f>
        <v>Eu_m_out</v>
      </c>
      <c r="D123" s="44"/>
      <c r="E123" s="92">
        <f>material_input_output!C132</f>
        <v>0.48022939473931553</v>
      </c>
      <c r="F123" s="46"/>
      <c r="G123" s="47"/>
      <c r="H123" s="48" t="s">
        <v>426</v>
      </c>
      <c r="I123" s="46" t="s">
        <v>511</v>
      </c>
      <c r="J123" s="321" t="str">
        <f>"[kg/kg] kg of "&amp;material_input_output!A132&amp;" produced per kg of rare earth chloride"</f>
        <v>[kg/kg] kg of Eu₂O₃ produced per kg of rare earth chloride</v>
      </c>
      <c r="K123" s="322"/>
      <c r="L123" s="322"/>
      <c r="M123" s="322"/>
      <c r="N123" s="322"/>
      <c r="O123" s="322"/>
      <c r="P123" s="323"/>
      <c r="Q123" s="2"/>
      <c r="R123" s="2"/>
      <c r="S123" s="2"/>
      <c r="T123" s="2"/>
      <c r="U123" s="2"/>
      <c r="V123" s="2"/>
      <c r="W123" s="2"/>
      <c r="X123" s="2"/>
      <c r="Y123" s="2"/>
    </row>
    <row r="124" spans="1:25" x14ac:dyDescent="0.25">
      <c r="A124" s="2"/>
      <c r="B124" s="17">
        <f t="shared" si="0"/>
        <v>8</v>
      </c>
      <c r="C124" s="43" t="str">
        <f>material_input_output!J25&amp;"_m_out"</f>
        <v>Gd_m_out</v>
      </c>
      <c r="D124" s="44"/>
      <c r="E124" s="92">
        <f>material_input_output!C133</f>
        <v>0.487621114925052</v>
      </c>
      <c r="F124" s="46"/>
      <c r="G124" s="47"/>
      <c r="H124" s="48" t="s">
        <v>426</v>
      </c>
      <c r="I124" s="46" t="s">
        <v>511</v>
      </c>
      <c r="J124" s="321" t="str">
        <f>"[kg/kg] kg of "&amp;material_input_output!A133&amp;" produced per kg of rare earth chloride"</f>
        <v>[kg/kg] kg of Gd₂O₃ produced per kg of rare earth chloride</v>
      </c>
      <c r="K124" s="322"/>
      <c r="L124" s="322"/>
      <c r="M124" s="322"/>
      <c r="N124" s="322"/>
      <c r="O124" s="322"/>
      <c r="P124" s="323"/>
      <c r="Q124" s="2"/>
      <c r="R124" s="2"/>
      <c r="S124" s="2"/>
      <c r="T124" s="2"/>
      <c r="U124" s="2"/>
      <c r="V124" s="2"/>
      <c r="W124" s="2"/>
      <c r="X124" s="2"/>
      <c r="Y124" s="2"/>
    </row>
    <row r="125" spans="1:25" x14ac:dyDescent="0.25">
      <c r="A125" s="2"/>
      <c r="B125" s="17">
        <f t="shared" si="0"/>
        <v>8</v>
      </c>
      <c r="C125" s="43" t="str">
        <f>material_input_output!J26&amp;"_m_out"</f>
        <v>Tb_m_out</v>
      </c>
      <c r="D125" s="44"/>
      <c r="E125" s="92">
        <f>material_input_output!C134</f>
        <v>0.5006328338752758</v>
      </c>
      <c r="F125" s="46"/>
      <c r="G125" s="47"/>
      <c r="H125" s="48" t="s">
        <v>426</v>
      </c>
      <c r="I125" s="46" t="s">
        <v>511</v>
      </c>
      <c r="J125" s="321" t="str">
        <f>"[kg/kg] kg of "&amp;material_input_output!A134&amp;" produced per kg of rare earth chloride"</f>
        <v>[kg/kg] kg of Tb₄O₇ produced per kg of rare earth chloride</v>
      </c>
      <c r="K125" s="322"/>
      <c r="L125" s="322"/>
      <c r="M125" s="322"/>
      <c r="N125" s="322"/>
      <c r="O125" s="322"/>
      <c r="P125" s="323"/>
      <c r="Q125" s="2"/>
      <c r="R125" s="2"/>
      <c r="S125" s="2"/>
      <c r="T125" s="2"/>
      <c r="U125" s="2"/>
      <c r="V125" s="2"/>
      <c r="W125" s="2"/>
      <c r="X125" s="2"/>
      <c r="Y125" s="2"/>
    </row>
    <row r="126" spans="1:25" x14ac:dyDescent="0.25">
      <c r="A126" s="2"/>
      <c r="B126" s="17">
        <f t="shared" si="0"/>
        <v>8</v>
      </c>
      <c r="C126" s="43" t="str">
        <f>material_input_output!J27&amp;"_m_out"</f>
        <v>Dy_m_out</v>
      </c>
      <c r="D126" s="44"/>
      <c r="E126" s="92">
        <f>material_input_output!C135</f>
        <v>0.49475729822267461</v>
      </c>
      <c r="F126" s="46"/>
      <c r="G126" s="47"/>
      <c r="H126" s="48" t="s">
        <v>426</v>
      </c>
      <c r="I126" s="46" t="s">
        <v>511</v>
      </c>
      <c r="J126" s="321" t="str">
        <f>"[kg/kg] kg of "&amp;material_input_output!A135&amp;" produced per kg of rare earth chloride"</f>
        <v>[kg/kg] kg of Dy₂O₃ produced per kg of rare earth chloride</v>
      </c>
      <c r="K126" s="322"/>
      <c r="L126" s="322"/>
      <c r="M126" s="322"/>
      <c r="N126" s="322"/>
      <c r="O126" s="322"/>
      <c r="P126" s="323"/>
      <c r="Q126" s="2"/>
      <c r="R126" s="2"/>
      <c r="S126" s="2"/>
      <c r="T126" s="2"/>
      <c r="U126" s="2"/>
      <c r="V126" s="2"/>
      <c r="W126" s="2"/>
      <c r="X126" s="2"/>
      <c r="Y126" s="2"/>
    </row>
    <row r="127" spans="1:25" x14ac:dyDescent="0.25">
      <c r="A127" s="2"/>
      <c r="B127" s="17">
        <f t="shared" si="0"/>
        <v>8</v>
      </c>
      <c r="C127" s="43" t="str">
        <f>material_input_output!J28&amp;"_m_out"</f>
        <v>Ho_m_out</v>
      </c>
      <c r="D127" s="44"/>
      <c r="E127" s="92">
        <f>material_input_output!C136</f>
        <v>0.49799389004720851</v>
      </c>
      <c r="F127" s="46"/>
      <c r="G127" s="47"/>
      <c r="H127" s="48" t="s">
        <v>426</v>
      </c>
      <c r="I127" s="46" t="s">
        <v>511</v>
      </c>
      <c r="J127" s="321" t="str">
        <f>"[kg/kg] kg of "&amp;material_input_output!A136&amp;" produced per kg of rare earth chloride"</f>
        <v>[kg/kg] kg of Ho₂O₃ produced per kg of rare earth chloride</v>
      </c>
      <c r="K127" s="322"/>
      <c r="L127" s="322"/>
      <c r="M127" s="322"/>
      <c r="N127" s="322"/>
      <c r="O127" s="322"/>
      <c r="P127" s="323"/>
      <c r="Q127" s="2"/>
      <c r="R127" s="2"/>
      <c r="S127" s="2"/>
      <c r="T127" s="2"/>
      <c r="U127" s="2"/>
      <c r="V127" s="2"/>
      <c r="W127" s="2"/>
      <c r="X127" s="2"/>
      <c r="Y127" s="2"/>
    </row>
    <row r="128" spans="1:25" x14ac:dyDescent="0.25">
      <c r="A128" s="2"/>
      <c r="B128" s="17">
        <f t="shared" si="0"/>
        <v>8</v>
      </c>
      <c r="C128" s="43" t="str">
        <f>material_input_output!J29&amp;"_m_out"</f>
        <v>Er_m_out</v>
      </c>
      <c r="D128" s="44"/>
      <c r="E128" s="92">
        <f>material_input_output!C137</f>
        <v>0.50105645735785376</v>
      </c>
      <c r="F128" s="46"/>
      <c r="G128" s="47"/>
      <c r="H128" s="48" t="s">
        <v>426</v>
      </c>
      <c r="I128" s="46" t="s">
        <v>511</v>
      </c>
      <c r="J128" s="321" t="str">
        <f>"[kg/kg] kg of "&amp;material_input_output!A137&amp;" produced per kg of rare earth chloride"</f>
        <v>[kg/kg] kg of Er₂O₃ produced per kg of rare earth chloride</v>
      </c>
      <c r="K128" s="322"/>
      <c r="L128" s="322"/>
      <c r="M128" s="322"/>
      <c r="N128" s="322"/>
      <c r="O128" s="322"/>
      <c r="P128" s="323"/>
      <c r="Q128" s="2"/>
      <c r="R128" s="2"/>
      <c r="S128" s="2"/>
      <c r="T128" s="2"/>
      <c r="U128" s="2"/>
      <c r="V128" s="2"/>
      <c r="W128" s="2"/>
      <c r="X128" s="2"/>
      <c r="Y128" s="2"/>
    </row>
    <row r="129" spans="1:25" x14ac:dyDescent="0.25">
      <c r="A129" s="2"/>
      <c r="B129" s="17">
        <f t="shared" si="0"/>
        <v>8</v>
      </c>
      <c r="C129" s="43" t="str">
        <f>material_input_output!J30&amp;"_m_out"</f>
        <v>Tm_m_out</v>
      </c>
      <c r="D129" s="44"/>
      <c r="E129" s="92">
        <f>material_input_output!C138</f>
        <v>0.50323660382129298</v>
      </c>
      <c r="F129" s="46"/>
      <c r="G129" s="47"/>
      <c r="H129" s="48" t="s">
        <v>426</v>
      </c>
      <c r="I129" s="46" t="s">
        <v>511</v>
      </c>
      <c r="J129" s="321" t="str">
        <f>"[kg/kg] kg of "&amp;material_input_output!A138&amp;" produced per kg of rare earth chloride"</f>
        <v>[kg/kg] kg of Tm₂O₃ produced per kg of rare earth chloride</v>
      </c>
      <c r="K129" s="322"/>
      <c r="L129" s="322"/>
      <c r="M129" s="322"/>
      <c r="N129" s="322"/>
      <c r="O129" s="322"/>
      <c r="P129" s="323"/>
      <c r="Q129" s="2"/>
      <c r="R129" s="2"/>
      <c r="S129" s="2"/>
      <c r="T129" s="2"/>
      <c r="U129" s="2"/>
      <c r="V129" s="2"/>
      <c r="W129" s="2"/>
      <c r="X129" s="2"/>
      <c r="Y129" s="2"/>
    </row>
    <row r="130" spans="1:25" x14ac:dyDescent="0.25">
      <c r="A130" s="2"/>
      <c r="B130" s="17">
        <f t="shared" si="0"/>
        <v>8</v>
      </c>
      <c r="C130" s="43" t="str">
        <f>material_input_output!J31&amp;"_m_out"</f>
        <v>Yb_m_out</v>
      </c>
      <c r="D130" s="44"/>
      <c r="E130" s="92">
        <f>material_input_output!C139</f>
        <v>0.50850023025069924</v>
      </c>
      <c r="F130" s="46"/>
      <c r="G130" s="47"/>
      <c r="H130" s="48" t="s">
        <v>426</v>
      </c>
      <c r="I130" s="46" t="s">
        <v>511</v>
      </c>
      <c r="J130" s="321" t="str">
        <f>"[kg/kg] kg of "&amp;material_input_output!A139&amp;" produced per kg of rare earth chloride"</f>
        <v>[kg/kg] kg of Yb₂O₃ produced per kg of rare earth chloride</v>
      </c>
      <c r="K130" s="322"/>
      <c r="L130" s="322"/>
      <c r="M130" s="322"/>
      <c r="N130" s="322"/>
      <c r="O130" s="322"/>
      <c r="P130" s="323"/>
      <c r="Q130" s="2"/>
      <c r="R130" s="2"/>
      <c r="S130" s="2"/>
      <c r="T130" s="2"/>
      <c r="U130" s="2"/>
      <c r="V130" s="2"/>
      <c r="W130" s="2"/>
      <c r="X130" s="2"/>
      <c r="Y130" s="2"/>
    </row>
    <row r="131" spans="1:25" x14ac:dyDescent="0.25">
      <c r="A131" s="2"/>
      <c r="B131" s="17">
        <f t="shared" si="0"/>
        <v>8</v>
      </c>
      <c r="C131" s="43" t="str">
        <f>material_input_output!J32&amp;"_m_out"</f>
        <v>Lu_m_out</v>
      </c>
      <c r="D131" s="44"/>
      <c r="E131" s="92">
        <f>material_input_output!C140</f>
        <v>0.51093237471909336</v>
      </c>
      <c r="F131" s="46"/>
      <c r="G131" s="47"/>
      <c r="H131" s="48" t="s">
        <v>426</v>
      </c>
      <c r="I131" s="46" t="s">
        <v>511</v>
      </c>
      <c r="J131" s="321" t="str">
        <f>"[kg/kg] kg of "&amp;material_input_output!A140&amp;" produced per kg of rare earth chloride"</f>
        <v>[kg/kg] kg of Lu₂O₃ produced per kg of rare earth chloride</v>
      </c>
      <c r="K131" s="322"/>
      <c r="L131" s="322"/>
      <c r="M131" s="322"/>
      <c r="N131" s="322"/>
      <c r="O131" s="322"/>
      <c r="P131" s="323"/>
      <c r="Q131" s="2"/>
      <c r="R131" s="2"/>
      <c r="S131" s="2"/>
      <c r="T131" s="2"/>
      <c r="U131" s="2"/>
      <c r="V131" s="2"/>
      <c r="W131" s="2"/>
      <c r="X131" s="2"/>
      <c r="Y131" s="2"/>
    </row>
    <row r="132" spans="1:25" x14ac:dyDescent="0.25">
      <c r="A132" s="2"/>
      <c r="B132" s="17">
        <f t="shared" si="0"/>
        <v>7</v>
      </c>
      <c r="C132" s="43" t="str">
        <f>material_input_output!J33&amp;"_m_out"</f>
        <v>Y_m_out</v>
      </c>
      <c r="D132" s="44"/>
      <c r="E132" s="92">
        <f>material_input_output!C141</f>
        <v>0.37218565890109567</v>
      </c>
      <c r="F132" s="46"/>
      <c r="G132" s="47"/>
      <c r="H132" s="48" t="s">
        <v>426</v>
      </c>
      <c r="I132" s="46" t="s">
        <v>511</v>
      </c>
      <c r="J132" s="321" t="str">
        <f>"[kg/kg] kg of "&amp;material_input_output!A141&amp;" produced per kg of rare earth chloride"</f>
        <v>[kg/kg] kg of Y₂O₃ produced per kg of rare earth chloride</v>
      </c>
      <c r="K132" s="322"/>
      <c r="L132" s="322"/>
      <c r="M132" s="322"/>
      <c r="N132" s="322"/>
      <c r="O132" s="322"/>
      <c r="P132" s="323"/>
      <c r="Q132" s="2"/>
      <c r="R132" s="2"/>
      <c r="S132" s="2"/>
      <c r="T132" s="2"/>
      <c r="U132" s="2"/>
      <c r="V132" s="2"/>
      <c r="W132" s="2"/>
      <c r="X132" s="2"/>
      <c r="Y132" s="2"/>
    </row>
    <row r="133" spans="1:25" x14ac:dyDescent="0.25">
      <c r="A133" s="2"/>
      <c r="B133" s="17"/>
      <c r="C133" s="43" t="s">
        <v>430</v>
      </c>
      <c r="D133" s="44"/>
      <c r="E133" s="92">
        <v>0.99990000000000001</v>
      </c>
      <c r="F133" s="46">
        <v>0</v>
      </c>
      <c r="G133" s="47">
        <v>1</v>
      </c>
      <c r="H133" s="48" t="s">
        <v>426</v>
      </c>
      <c r="I133" s="46" t="s">
        <v>511</v>
      </c>
      <c r="J133" s="321" t="s">
        <v>462</v>
      </c>
      <c r="K133" s="322"/>
      <c r="L133" s="322"/>
      <c r="M133" s="322"/>
      <c r="N133" s="322"/>
      <c r="O133" s="322"/>
      <c r="P133" s="323"/>
      <c r="Q133" s="2"/>
      <c r="R133" s="2"/>
      <c r="S133" s="2"/>
      <c r="T133" s="2"/>
      <c r="U133" s="2"/>
      <c r="V133" s="2"/>
      <c r="W133" s="2"/>
      <c r="X133" s="2"/>
      <c r="Y133" s="2"/>
    </row>
    <row r="134" spans="1:25" ht="64.5" x14ac:dyDescent="0.25">
      <c r="A134" s="2"/>
      <c r="B134" s="17">
        <f t="shared" si="0"/>
        <v>7</v>
      </c>
      <c r="C134" s="43" t="s">
        <v>429</v>
      </c>
      <c r="D134" s="44" t="s">
        <v>431</v>
      </c>
      <c r="E134" s="92">
        <f>(E118*$E$23+E119*$E$24+E120*$E$25+E121*$E$26+E122*$E$27+E123*$E$28+E124*$E$29+E125*$E$30+E126*$E$31+E127*$E$32+E128*$E$33+E129*$E$34+E130*$E$35+E131*$E$36+E132*$E$37)*E133</f>
        <v>0.37214844033520555</v>
      </c>
      <c r="F134" s="46"/>
      <c r="G134" s="47"/>
      <c r="H134" s="48" t="s">
        <v>426</v>
      </c>
      <c r="I134" s="46" t="s">
        <v>511</v>
      </c>
      <c r="J134" s="321" t="s">
        <v>456</v>
      </c>
      <c r="K134" s="322"/>
      <c r="L134" s="322"/>
      <c r="M134" s="322"/>
      <c r="N134" s="322"/>
      <c r="O134" s="322"/>
      <c r="P134" s="323"/>
      <c r="Q134" s="2"/>
      <c r="R134" s="2"/>
      <c r="S134" s="2"/>
      <c r="T134" s="2"/>
      <c r="U134" s="2"/>
      <c r="V134" s="2"/>
      <c r="W134" s="2"/>
      <c r="X134" s="2"/>
      <c r="Y134" s="2"/>
    </row>
    <row r="135" spans="1:25" x14ac:dyDescent="0.25">
      <c r="A135" s="2"/>
      <c r="B135" s="17">
        <f t="shared" si="0"/>
        <v>9</v>
      </c>
      <c r="C135" s="43" t="s">
        <v>452</v>
      </c>
      <c r="D135" s="44"/>
      <c r="E135" s="98">
        <f>energy!B46</f>
        <v>3388.5515480975969</v>
      </c>
      <c r="F135" s="293">
        <f>energy!B45</f>
        <v>3283.1539797836881</v>
      </c>
      <c r="G135" s="47">
        <f>energy!B46</f>
        <v>3388.5515480975969</v>
      </c>
      <c r="H135" s="48" t="s">
        <v>397</v>
      </c>
      <c r="I135" s="46" t="s">
        <v>512</v>
      </c>
      <c r="J135" s="321" t="s">
        <v>463</v>
      </c>
      <c r="K135" s="322"/>
      <c r="L135" s="322"/>
      <c r="M135" s="322"/>
      <c r="N135" s="322"/>
      <c r="O135" s="322"/>
      <c r="P135" s="323"/>
      <c r="Q135" s="2"/>
      <c r="R135" s="2"/>
      <c r="S135" s="2"/>
      <c r="T135" s="2"/>
      <c r="U135" s="2"/>
      <c r="V135" s="2"/>
      <c r="W135" s="2"/>
      <c r="X135" s="2"/>
      <c r="Y135" s="2"/>
    </row>
    <row r="136" spans="1:25" x14ac:dyDescent="0.25">
      <c r="A136" s="2"/>
      <c r="B136" s="17">
        <f t="shared" si="0"/>
        <v>0</v>
      </c>
      <c r="C136" s="43"/>
      <c r="D136" s="44"/>
      <c r="E136" s="45"/>
      <c r="F136" s="46"/>
      <c r="G136" s="47"/>
      <c r="H136" s="48"/>
      <c r="I136" s="46"/>
      <c r="J136" s="321"/>
      <c r="K136" s="322"/>
      <c r="L136" s="322"/>
      <c r="M136" s="322"/>
      <c r="N136" s="322"/>
      <c r="O136" s="322"/>
      <c r="P136" s="323"/>
      <c r="Q136" s="2"/>
      <c r="R136" s="2"/>
      <c r="S136" s="2"/>
      <c r="T136" s="2"/>
      <c r="U136" s="2"/>
      <c r="V136" s="2"/>
      <c r="W136" s="2"/>
      <c r="X136" s="2"/>
      <c r="Y136" s="2"/>
    </row>
    <row r="137" spans="1:25" x14ac:dyDescent="0.25">
      <c r="A137" s="2"/>
      <c r="B137" s="9"/>
      <c r="C137" s="49" t="s">
        <v>66</v>
      </c>
      <c r="D137" s="50" t="s">
        <v>67</v>
      </c>
      <c r="E137" s="51"/>
      <c r="F137" s="51"/>
      <c r="G137" s="51"/>
      <c r="H137" s="52"/>
      <c r="I137" s="53"/>
      <c r="J137" s="54"/>
      <c r="K137" s="54"/>
      <c r="L137" s="54"/>
      <c r="M137" s="54"/>
      <c r="N137" s="54"/>
      <c r="O137" s="54"/>
      <c r="P137" s="55"/>
      <c r="Q137" s="2"/>
      <c r="R137" s="2"/>
      <c r="S137" s="2"/>
      <c r="T137" s="2"/>
      <c r="U137" s="2"/>
      <c r="V137" s="2"/>
      <c r="W137" s="2"/>
      <c r="X137" s="2"/>
      <c r="Y137" s="2"/>
    </row>
    <row r="138" spans="1:25" ht="15.75" thickBot="1" x14ac:dyDescent="0.3">
      <c r="A138" s="2"/>
      <c r="B138" s="9"/>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thickBot="1" x14ac:dyDescent="0.3">
      <c r="A139" s="31"/>
      <c r="B139" s="332" t="s">
        <v>68</v>
      </c>
      <c r="C139" s="333"/>
      <c r="D139" s="333"/>
      <c r="E139" s="333"/>
      <c r="F139" s="333"/>
      <c r="G139" s="333"/>
      <c r="H139" s="333"/>
      <c r="I139" s="333"/>
      <c r="J139" s="333"/>
      <c r="K139" s="333"/>
      <c r="L139" s="333"/>
      <c r="M139" s="333"/>
      <c r="N139" s="333"/>
      <c r="O139" s="333"/>
      <c r="P139" s="334"/>
      <c r="Q139" s="31"/>
      <c r="R139" s="31"/>
      <c r="S139" s="31"/>
      <c r="T139" s="31"/>
      <c r="U139" s="31"/>
      <c r="V139" s="31"/>
      <c r="W139" s="31"/>
      <c r="X139" s="31"/>
      <c r="Y139" s="31"/>
    </row>
    <row r="140" spans="1:25" x14ac:dyDescent="0.25">
      <c r="A140" s="2"/>
      <c r="B140" s="9"/>
      <c r="C140" s="2"/>
      <c r="D140" s="2"/>
      <c r="E140" s="2"/>
      <c r="F140" s="2"/>
      <c r="G140" s="2"/>
      <c r="H140" s="41" t="s">
        <v>69</v>
      </c>
      <c r="I140" s="2"/>
      <c r="J140" s="2"/>
      <c r="K140" s="2"/>
      <c r="L140" s="2"/>
      <c r="M140" s="2"/>
      <c r="N140" s="2"/>
      <c r="O140" s="2"/>
      <c r="P140" s="2"/>
      <c r="Q140" s="2"/>
      <c r="R140" s="2"/>
      <c r="S140" s="2"/>
      <c r="T140" s="2"/>
      <c r="U140" s="2"/>
      <c r="V140" s="2"/>
      <c r="W140" s="2"/>
      <c r="X140" s="2"/>
      <c r="Y140" s="2"/>
    </row>
    <row r="141" spans="1:25" x14ac:dyDescent="0.25">
      <c r="A141" s="2"/>
      <c r="B141" s="9"/>
      <c r="C141" s="42" t="s">
        <v>70</v>
      </c>
      <c r="D141" s="42" t="s">
        <v>71</v>
      </c>
      <c r="E141" s="42" t="s">
        <v>60</v>
      </c>
      <c r="F141" s="42" t="s">
        <v>72</v>
      </c>
      <c r="G141" s="42" t="s">
        <v>70</v>
      </c>
      <c r="H141" s="42" t="s">
        <v>63</v>
      </c>
      <c r="I141" s="42" t="s">
        <v>73</v>
      </c>
      <c r="J141" s="42" t="s">
        <v>74</v>
      </c>
      <c r="K141" s="42" t="s">
        <v>75</v>
      </c>
      <c r="L141" s="42" t="s">
        <v>76</v>
      </c>
      <c r="M141" s="42" t="s">
        <v>64</v>
      </c>
      <c r="N141" s="342" t="s">
        <v>65</v>
      </c>
      <c r="O141" s="342"/>
      <c r="P141" s="342"/>
      <c r="Q141" s="2"/>
      <c r="R141" s="2"/>
      <c r="S141" s="2"/>
      <c r="T141" s="2"/>
      <c r="U141" s="2"/>
      <c r="V141" s="2"/>
      <c r="W141" s="2"/>
      <c r="X141" s="31"/>
      <c r="Y141" s="31"/>
    </row>
    <row r="142" spans="1:25" ht="14.25" customHeight="1" x14ac:dyDescent="0.25">
      <c r="A142" s="17"/>
      <c r="B142" s="17"/>
      <c r="C142" s="56"/>
      <c r="D142" s="57" t="s">
        <v>340</v>
      </c>
      <c r="E142" s="64">
        <v>1</v>
      </c>
      <c r="F142" s="64" t="s">
        <v>42</v>
      </c>
      <c r="G142" s="59">
        <f>IF($C142="",1,VLOOKUP($C142,$C$22:$H$137,3,FALSE))</f>
        <v>1</v>
      </c>
      <c r="H142" s="60" t="str">
        <f>IF($C142="","",VLOOKUP($C142,$C$22:$H$137,6,FALSE))</f>
        <v/>
      </c>
      <c r="I142" s="289">
        <f>IF(D142="","",E142*G142*$D$5)</f>
        <v>1</v>
      </c>
      <c r="J142" s="64" t="s">
        <v>42</v>
      </c>
      <c r="K142" s="290" t="s">
        <v>90</v>
      </c>
      <c r="L142" s="64" t="s">
        <v>105</v>
      </c>
      <c r="M142" s="291"/>
      <c r="N142" s="351" t="s">
        <v>428</v>
      </c>
      <c r="O142" s="351"/>
      <c r="P142" s="351"/>
      <c r="Q142" s="2"/>
      <c r="R142" s="2"/>
      <c r="S142" s="2"/>
      <c r="T142" s="2"/>
      <c r="U142" s="2"/>
      <c r="V142" s="2"/>
      <c r="W142" s="2"/>
      <c r="X142" s="31"/>
      <c r="Y142" s="31"/>
    </row>
    <row r="143" spans="1:25" x14ac:dyDescent="0.25">
      <c r="A143" s="2"/>
      <c r="B143" s="9"/>
      <c r="C143" s="43" t="s">
        <v>452</v>
      </c>
      <c r="D143" s="63" t="s">
        <v>455</v>
      </c>
      <c r="E143" s="58">
        <v>1</v>
      </c>
      <c r="F143" s="58" t="s">
        <v>397</v>
      </c>
      <c r="G143" s="59">
        <f>IF($C143="",1,VLOOKUP($C143,$C$22:$H$137,3,FALSE))</f>
        <v>3388.5515480975969</v>
      </c>
      <c r="H143" s="60" t="str">
        <f>IF($C143="","",VLOOKUP($C143,$C$22:$H$137,6,FALSE))</f>
        <v>kJ/kg</v>
      </c>
      <c r="I143" s="289">
        <f t="shared" ref="I143:I145" si="1">IF(D143="","",E143*G143*$D$5)</f>
        <v>3388.5515480975969</v>
      </c>
      <c r="J143" s="58" t="s">
        <v>447</v>
      </c>
      <c r="K143" s="61" t="s">
        <v>90</v>
      </c>
      <c r="L143" s="58" t="s">
        <v>94</v>
      </c>
      <c r="M143" s="62" t="str">
        <f>VLOOKUP(C143,$C$23:$I$137,7,FALSE)</f>
        <v>3,4,5,6,7</v>
      </c>
      <c r="N143" s="351" t="s">
        <v>467</v>
      </c>
      <c r="O143" s="352"/>
      <c r="P143" s="352"/>
      <c r="Q143" s="2"/>
      <c r="R143" s="2"/>
      <c r="S143" s="2"/>
      <c r="T143" s="2"/>
      <c r="U143" s="2"/>
      <c r="V143" s="2"/>
      <c r="W143" s="2"/>
      <c r="X143" s="31"/>
      <c r="Y143" s="31"/>
    </row>
    <row r="144" spans="1:25" x14ac:dyDescent="0.25">
      <c r="A144" s="2"/>
      <c r="B144" s="9"/>
      <c r="C144" s="43" t="s">
        <v>414</v>
      </c>
      <c r="D144" s="63" t="s">
        <v>413</v>
      </c>
      <c r="E144" s="58">
        <v>1</v>
      </c>
      <c r="F144" s="58" t="s">
        <v>426</v>
      </c>
      <c r="G144" s="59">
        <f>IF($C144="",1,VLOOKUP($C144,$C$22:$H$137,3,FALSE))</f>
        <v>0.44519338350817766</v>
      </c>
      <c r="H144" s="60" t="str">
        <f>IF($C144="","",VLOOKUP($C144,$C$22:$H$137,6,FALSE))</f>
        <v>kg/kg</v>
      </c>
      <c r="I144" s="289">
        <f t="shared" si="1"/>
        <v>0.44519338350817766</v>
      </c>
      <c r="J144" s="58" t="s">
        <v>42</v>
      </c>
      <c r="K144" s="61" t="s">
        <v>90</v>
      </c>
      <c r="L144" s="58" t="s">
        <v>94</v>
      </c>
      <c r="M144" s="62">
        <f>VLOOKUP(C144,$C$23:$I$137,7,FALSE)</f>
        <v>1</v>
      </c>
      <c r="N144" s="351" t="s">
        <v>467</v>
      </c>
      <c r="O144" s="351"/>
      <c r="P144" s="351"/>
      <c r="Q144" s="2"/>
      <c r="R144" s="2"/>
      <c r="S144" s="2"/>
      <c r="T144" s="2"/>
      <c r="U144" s="2"/>
      <c r="V144" s="2"/>
      <c r="W144" s="2"/>
      <c r="X144" s="31"/>
      <c r="Y144" s="31"/>
    </row>
    <row r="145" spans="1:25" x14ac:dyDescent="0.25">
      <c r="A145" s="2"/>
      <c r="B145" s="9"/>
      <c r="C145" s="64" t="s">
        <v>424</v>
      </c>
      <c r="D145" s="65" t="s">
        <v>423</v>
      </c>
      <c r="E145" s="58">
        <v>1</v>
      </c>
      <c r="F145" s="58" t="s">
        <v>426</v>
      </c>
      <c r="G145" s="59">
        <f>IF($C145="",1,VLOOKUP($C145,$C$22:$H$137,3,FALSE))</f>
        <v>0.11877298306385559</v>
      </c>
      <c r="H145" s="60" t="str">
        <f>IF($C145="","",VLOOKUP($C145,$C$22:$H$137,6,FALSE))</f>
        <v>kg/kg</v>
      </c>
      <c r="I145" s="289">
        <f t="shared" si="1"/>
        <v>0.11877298306385559</v>
      </c>
      <c r="J145" s="58" t="s">
        <v>42</v>
      </c>
      <c r="K145" s="61" t="s">
        <v>95</v>
      </c>
      <c r="L145" s="58" t="s">
        <v>94</v>
      </c>
      <c r="M145" s="62">
        <f>VLOOKUP(C145,$C$23:$I$137,7,FALSE)</f>
        <v>1</v>
      </c>
      <c r="N145" s="351" t="s">
        <v>468</v>
      </c>
      <c r="O145" s="351"/>
      <c r="P145" s="351"/>
      <c r="Q145" s="2"/>
      <c r="R145" s="2"/>
      <c r="S145" s="2"/>
      <c r="T145" s="2"/>
      <c r="U145" s="2"/>
      <c r="V145" s="2"/>
      <c r="W145" s="2"/>
      <c r="X145" s="31"/>
      <c r="Y145" s="31"/>
    </row>
    <row r="146" spans="1:25" x14ac:dyDescent="0.25">
      <c r="A146" s="2"/>
      <c r="B146" s="9"/>
      <c r="C146" s="66" t="s">
        <v>66</v>
      </c>
      <c r="D146" s="50" t="s">
        <v>67</v>
      </c>
      <c r="E146" s="67" t="s">
        <v>77</v>
      </c>
      <c r="F146" s="50"/>
      <c r="G146" s="50"/>
      <c r="H146" s="50"/>
      <c r="I146" s="67" t="s">
        <v>78</v>
      </c>
      <c r="J146" s="50"/>
      <c r="K146" s="67"/>
      <c r="L146" s="50" t="s">
        <v>79</v>
      </c>
      <c r="M146" s="68"/>
      <c r="N146" s="350"/>
      <c r="O146" s="350"/>
      <c r="P146" s="350"/>
      <c r="Q146" s="2"/>
      <c r="R146" s="2"/>
      <c r="S146" s="2"/>
      <c r="T146" s="2"/>
      <c r="U146" s="2"/>
      <c r="V146" s="2"/>
      <c r="W146" s="2"/>
      <c r="X146" s="31"/>
      <c r="Y146" s="31"/>
    </row>
    <row r="147" spans="1:25" ht="15.75" thickBot="1" x14ac:dyDescent="0.3">
      <c r="A147" s="2"/>
      <c r="B147" s="9"/>
      <c r="C147" s="2"/>
      <c r="D147" s="2"/>
      <c r="E147" s="2"/>
      <c r="F147" s="2"/>
      <c r="G147" s="2"/>
      <c r="H147" s="2"/>
      <c r="I147" s="2"/>
      <c r="J147" s="2"/>
      <c r="K147" s="2"/>
      <c r="L147" s="2"/>
      <c r="M147" s="2"/>
      <c r="N147" s="2"/>
      <c r="O147" s="2"/>
      <c r="P147" s="2"/>
      <c r="Q147" s="2"/>
      <c r="R147" s="2"/>
      <c r="S147" s="2"/>
      <c r="T147" s="2"/>
      <c r="U147" s="2"/>
      <c r="V147" s="2"/>
      <c r="W147" s="2"/>
      <c r="X147" s="31"/>
      <c r="Y147" s="31"/>
    </row>
    <row r="148" spans="1:25" ht="15.75" thickBot="1" x14ac:dyDescent="0.3">
      <c r="A148" s="31"/>
      <c r="B148" s="332" t="s">
        <v>80</v>
      </c>
      <c r="C148" s="333"/>
      <c r="D148" s="333"/>
      <c r="E148" s="333"/>
      <c r="F148" s="333"/>
      <c r="G148" s="333"/>
      <c r="H148" s="333"/>
      <c r="I148" s="333"/>
      <c r="J148" s="333"/>
      <c r="K148" s="333"/>
      <c r="L148" s="333"/>
      <c r="M148" s="333"/>
      <c r="N148" s="333"/>
      <c r="O148" s="333"/>
      <c r="P148" s="334"/>
      <c r="Q148" s="31"/>
      <c r="R148" s="31"/>
      <c r="S148" s="31"/>
      <c r="T148" s="31"/>
      <c r="U148" s="31"/>
      <c r="V148" s="31"/>
      <c r="W148" s="31"/>
      <c r="X148" s="31"/>
      <c r="Y148" s="31"/>
    </row>
    <row r="149" spans="1:25" x14ac:dyDescent="0.25">
      <c r="A149" s="2"/>
      <c r="B149" s="9"/>
      <c r="C149" s="2"/>
      <c r="D149" s="2"/>
      <c r="E149" s="2"/>
      <c r="F149" s="2"/>
      <c r="G149" s="2"/>
      <c r="H149" s="41" t="s">
        <v>81</v>
      </c>
      <c r="I149" s="2"/>
      <c r="J149" s="2"/>
      <c r="K149" s="2"/>
      <c r="L149" s="2"/>
      <c r="M149" s="2"/>
      <c r="N149" s="2"/>
      <c r="O149" s="2"/>
      <c r="P149" s="2"/>
      <c r="Q149" s="2"/>
      <c r="R149" s="2"/>
      <c r="S149" s="2"/>
      <c r="T149" s="2"/>
      <c r="U149" s="2"/>
      <c r="V149" s="2"/>
      <c r="W149" s="2"/>
      <c r="X149" s="31"/>
      <c r="Y149" s="31"/>
    </row>
    <row r="150" spans="1:25" x14ac:dyDescent="0.25">
      <c r="A150" s="2"/>
      <c r="B150" s="9"/>
      <c r="C150" s="42" t="s">
        <v>70</v>
      </c>
      <c r="D150" s="42" t="s">
        <v>71</v>
      </c>
      <c r="E150" s="42" t="s">
        <v>60</v>
      </c>
      <c r="F150" s="42" t="s">
        <v>72</v>
      </c>
      <c r="G150" s="42" t="s">
        <v>70</v>
      </c>
      <c r="H150" s="42" t="s">
        <v>63</v>
      </c>
      <c r="I150" s="42" t="s">
        <v>73</v>
      </c>
      <c r="J150" s="42" t="s">
        <v>74</v>
      </c>
      <c r="K150" s="42" t="s">
        <v>75</v>
      </c>
      <c r="L150" s="42" t="s">
        <v>76</v>
      </c>
      <c r="M150" s="42" t="s">
        <v>64</v>
      </c>
      <c r="N150" s="342" t="s">
        <v>65</v>
      </c>
      <c r="O150" s="342"/>
      <c r="P150" s="342"/>
      <c r="Q150" s="2"/>
      <c r="R150" s="2"/>
      <c r="S150" s="2"/>
      <c r="T150" s="2"/>
      <c r="U150" s="2"/>
      <c r="V150" s="2"/>
      <c r="W150" s="2"/>
      <c r="X150" s="31"/>
      <c r="Y150" s="31"/>
    </row>
    <row r="151" spans="1:25" x14ac:dyDescent="0.25">
      <c r="A151" s="2"/>
      <c r="B151" s="9"/>
      <c r="C151" s="69" t="s">
        <v>429</v>
      </c>
      <c r="D151" s="70" t="s">
        <v>237</v>
      </c>
      <c r="E151" s="71">
        <v>1</v>
      </c>
      <c r="F151" s="71" t="s">
        <v>42</v>
      </c>
      <c r="G151" s="59">
        <f>IF($C151="",1,VLOOKUP($C151,$C$22:$H$137,3,FALSE))</f>
        <v>0.37214844033520555</v>
      </c>
      <c r="H151" s="60" t="str">
        <f>IF($C151="","",VLOOKUP($C151,$C$22:$H$137,6,FALSE))</f>
        <v>kg/kg</v>
      </c>
      <c r="I151" s="289">
        <f t="shared" ref="I151" si="2">IF(D151="","",E151*G151*$D$5)</f>
        <v>0.37214844033520555</v>
      </c>
      <c r="J151" s="71"/>
      <c r="K151" s="61" t="s">
        <v>90</v>
      </c>
      <c r="L151" s="58" t="s">
        <v>94</v>
      </c>
      <c r="M151" s="62" t="str">
        <f>VLOOKUP(C151,$C$23:$I$137,7,FALSE)</f>
        <v>1,2</v>
      </c>
      <c r="N151" s="349" t="s">
        <v>469</v>
      </c>
      <c r="O151" s="349"/>
      <c r="P151" s="349"/>
      <c r="Q151" s="2"/>
      <c r="R151" s="2"/>
      <c r="S151" s="2"/>
      <c r="T151" s="2"/>
      <c r="U151" s="2"/>
      <c r="V151" s="2"/>
      <c r="W151" s="2"/>
      <c r="X151" s="31"/>
      <c r="Y151" s="31"/>
    </row>
    <row r="152" spans="1:25" x14ac:dyDescent="0.25">
      <c r="A152" s="2"/>
      <c r="B152" s="9"/>
      <c r="C152" s="64" t="s">
        <v>313</v>
      </c>
      <c r="D152" s="72" t="s">
        <v>341</v>
      </c>
      <c r="E152" s="71">
        <v>1</v>
      </c>
      <c r="F152" s="71" t="s">
        <v>42</v>
      </c>
      <c r="G152" s="59">
        <f>IF($C152="",1,VLOOKUP($C152,$C$22:$H$137,3,FALSE))</f>
        <v>0.43522550841414226</v>
      </c>
      <c r="H152" s="60" t="str">
        <f>IF($C152="","",VLOOKUP($C152,$C$22:$H$137,6,FALSE))</f>
        <v>kg/kg</v>
      </c>
      <c r="I152" s="289">
        <f t="shared" ref="I152:I154" si="3">IF(D152="","",E152*G152*$D$5)</f>
        <v>0.43522550841414226</v>
      </c>
      <c r="J152" s="64" t="s">
        <v>42</v>
      </c>
      <c r="K152" s="61"/>
      <c r="L152" s="58" t="s">
        <v>94</v>
      </c>
      <c r="M152" s="62" t="str">
        <f>VLOOKUP(C152,$C$23:$I$137,7,FALSE)</f>
        <v>1,2</v>
      </c>
      <c r="N152" s="349" t="s">
        <v>470</v>
      </c>
      <c r="O152" s="349"/>
      <c r="P152" s="349"/>
      <c r="Q152" s="2"/>
      <c r="R152" s="2"/>
      <c r="S152" s="2"/>
      <c r="T152" s="2"/>
      <c r="U152" s="2"/>
      <c r="V152" s="2"/>
      <c r="W152" s="2"/>
      <c r="X152" s="31"/>
      <c r="Y152" s="31"/>
    </row>
    <row r="153" spans="1:25" x14ac:dyDescent="0.25">
      <c r="A153" s="2"/>
      <c r="B153" s="9"/>
      <c r="C153" s="64" t="s">
        <v>425</v>
      </c>
      <c r="D153" s="72" t="s">
        <v>342</v>
      </c>
      <c r="E153" s="71">
        <v>1</v>
      </c>
      <c r="F153" s="71" t="s">
        <v>42</v>
      </c>
      <c r="G153" s="59">
        <f>IF($C153="",1,VLOOKUP($C153,$C$22:$H$137,3,FALSE))</f>
        <v>0.36057512920522927</v>
      </c>
      <c r="H153" s="60" t="str">
        <f>IF($C153="","",VLOOKUP($C153,$C$22:$H$137,6,FALSE))</f>
        <v>kg/kg</v>
      </c>
      <c r="I153" s="289">
        <f t="shared" si="3"/>
        <v>0.36057512920522927</v>
      </c>
      <c r="J153" s="64" t="s">
        <v>42</v>
      </c>
      <c r="K153" s="61" t="s">
        <v>95</v>
      </c>
      <c r="L153" s="58" t="s">
        <v>94</v>
      </c>
      <c r="M153" s="62">
        <f>VLOOKUP(C153,$C$23:$I$137,7,FALSE)</f>
        <v>1</v>
      </c>
      <c r="N153" s="349" t="s">
        <v>471</v>
      </c>
      <c r="O153" s="349"/>
      <c r="P153" s="349"/>
      <c r="Q153" s="2"/>
      <c r="R153" s="2"/>
      <c r="S153" s="2"/>
      <c r="T153" s="2"/>
      <c r="U153" s="2"/>
      <c r="V153" s="2"/>
      <c r="W153" s="2"/>
      <c r="X153" s="31"/>
      <c r="Y153" s="31"/>
    </row>
    <row r="154" spans="1:25" x14ac:dyDescent="0.25">
      <c r="A154" s="2"/>
      <c r="B154" s="9"/>
      <c r="C154" s="64" t="s">
        <v>422</v>
      </c>
      <c r="D154" s="72" t="s">
        <v>427</v>
      </c>
      <c r="E154" s="71">
        <v>1</v>
      </c>
      <c r="F154" s="71" t="s">
        <v>42</v>
      </c>
      <c r="G154" s="59">
        <f>IF($C154="",1,VLOOKUP($C154,$C$22:$H$137,3,FALSE))</f>
        <v>0.29693245765963894</v>
      </c>
      <c r="H154" s="60" t="str">
        <f>IF($C154="","",VLOOKUP($C154,$C$22:$H$137,6,FALSE))</f>
        <v>kg/kg</v>
      </c>
      <c r="I154" s="289">
        <f t="shared" si="3"/>
        <v>0.29693245765963894</v>
      </c>
      <c r="J154" s="64" t="s">
        <v>42</v>
      </c>
      <c r="K154" s="61" t="s">
        <v>95</v>
      </c>
      <c r="L154" s="58" t="s">
        <v>94</v>
      </c>
      <c r="M154" s="62" t="str">
        <f>VLOOKUP(C154,$C$23:$I$137,7,FALSE)</f>
        <v>1,2</v>
      </c>
      <c r="N154" s="349" t="s">
        <v>538</v>
      </c>
      <c r="O154" s="349"/>
      <c r="P154" s="349"/>
      <c r="Q154" s="2"/>
      <c r="R154" s="2"/>
      <c r="S154" s="2"/>
      <c r="T154" s="2"/>
      <c r="U154" s="2"/>
      <c r="V154" s="2"/>
      <c r="W154" s="2"/>
      <c r="X154" s="31"/>
      <c r="Y154" s="31"/>
    </row>
    <row r="155" spans="1:25" x14ac:dyDescent="0.25">
      <c r="A155" s="2"/>
      <c r="B155" s="9"/>
      <c r="C155" s="66" t="s">
        <v>66</v>
      </c>
      <c r="D155" s="73" t="s">
        <v>67</v>
      </c>
      <c r="E155" s="67" t="s">
        <v>77</v>
      </c>
      <c r="F155" s="50"/>
      <c r="G155" s="74"/>
      <c r="H155" s="75"/>
      <c r="I155" s="75"/>
      <c r="J155" s="50"/>
      <c r="K155" s="67"/>
      <c r="L155" s="50" t="s">
        <v>79</v>
      </c>
      <c r="M155" s="68"/>
      <c r="N155" s="350"/>
      <c r="O155" s="350"/>
      <c r="P155" s="350"/>
      <c r="Q155" s="2"/>
      <c r="R155" s="2"/>
      <c r="S155" s="2"/>
      <c r="T155" s="2"/>
      <c r="U155" s="2"/>
      <c r="V155" s="2"/>
      <c r="W155" s="2"/>
      <c r="X155" s="31"/>
      <c r="Y155" s="31"/>
    </row>
    <row r="156" spans="1:25" x14ac:dyDescent="0.25">
      <c r="A156" s="2"/>
      <c r="B156" s="9"/>
      <c r="C156" s="2"/>
      <c r="D156" s="2"/>
      <c r="E156" s="2"/>
      <c r="F156" s="2"/>
      <c r="G156" s="2"/>
      <c r="H156" s="2"/>
      <c r="I156" s="2"/>
      <c r="J156" s="2"/>
      <c r="K156" s="2"/>
      <c r="L156" s="2"/>
      <c r="M156" s="2"/>
      <c r="N156" s="2"/>
      <c r="O156" s="2"/>
      <c r="P156" s="2"/>
      <c r="Q156" s="2"/>
      <c r="R156" s="2"/>
      <c r="S156" s="2"/>
      <c r="T156" s="2"/>
      <c r="U156" s="2"/>
      <c r="V156" s="2"/>
      <c r="W156" s="2"/>
      <c r="X156" s="31"/>
      <c r="Y156" s="31"/>
    </row>
    <row r="157" spans="1:25" x14ac:dyDescent="0.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9"/>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9"/>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9"/>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2"/>
      <c r="B180" s="9"/>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5">
      <c r="A181" s="2"/>
      <c r="B181" s="9"/>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5">
      <c r="A182" s="2"/>
      <c r="B182" s="9"/>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9"/>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9"/>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5">
      <c r="A185" s="2"/>
      <c r="B185" s="9"/>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9"/>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9"/>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9"/>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9"/>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9"/>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5">
      <c r="A191" s="2"/>
      <c r="B191" s="9"/>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5">
      <c r="A192" s="2"/>
      <c r="B192" s="9"/>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5">
      <c r="A193" s="2"/>
      <c r="B193" s="9"/>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5">
      <c r="A194" s="2"/>
      <c r="B194" s="9"/>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5">
      <c r="A195" s="2"/>
      <c r="B195" s="9"/>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5">
      <c r="A196" s="2"/>
      <c r="B196" s="9"/>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5">
      <c r="A197" s="2"/>
      <c r="B197" s="9"/>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5">
      <c r="A198" s="2"/>
      <c r="B198" s="9"/>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5">
      <c r="A199" s="2"/>
      <c r="B199" s="9"/>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5">
      <c r="A200" s="2"/>
      <c r="B200" s="9"/>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5">
      <c r="A201" s="2"/>
      <c r="B201" s="9"/>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5">
      <c r="A202" s="2"/>
      <c r="B202" s="9"/>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5">
      <c r="A203" s="2"/>
      <c r="B203" s="9"/>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5">
      <c r="A204" s="2"/>
      <c r="B204" s="9"/>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5">
      <c r="A205" s="2"/>
      <c r="B205" s="9"/>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5">
      <c r="A206" s="2"/>
      <c r="B206" s="9"/>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5">
      <c r="A207" s="2"/>
      <c r="B207" s="9"/>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5">
      <c r="A208" s="2"/>
      <c r="B208" s="9"/>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5">
      <c r="A209" s="2"/>
      <c r="B209" s="9"/>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5">
      <c r="A210" s="2"/>
      <c r="B210" s="9"/>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5">
      <c r="A211" s="2"/>
      <c r="B211" s="76" t="s">
        <v>82</v>
      </c>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5">
      <c r="A212" s="9"/>
      <c r="B212" s="9"/>
      <c r="C212" s="9" t="s">
        <v>83</v>
      </c>
      <c r="D212" s="9" t="s">
        <v>84</v>
      </c>
      <c r="E212" s="9" t="s">
        <v>85</v>
      </c>
      <c r="F212" s="9"/>
      <c r="G212" s="9"/>
      <c r="H212" s="9" t="s">
        <v>76</v>
      </c>
      <c r="I212" s="9"/>
      <c r="J212" s="9" t="s">
        <v>75</v>
      </c>
      <c r="K212" s="9"/>
      <c r="L212" s="9"/>
      <c r="M212" s="9"/>
      <c r="N212" s="9"/>
      <c r="O212" s="9"/>
      <c r="P212" s="9"/>
      <c r="Q212" s="9"/>
      <c r="R212" s="9"/>
      <c r="S212" s="9"/>
      <c r="T212" s="9"/>
      <c r="U212" s="9"/>
      <c r="V212" s="9"/>
      <c r="W212" s="9"/>
      <c r="X212" s="9"/>
      <c r="Y212" s="9"/>
    </row>
    <row r="213" spans="1:25" x14ac:dyDescent="0.25">
      <c r="A213" s="2"/>
      <c r="B213" s="9"/>
      <c r="C213" s="77" t="s">
        <v>79</v>
      </c>
      <c r="D213" s="77" t="s">
        <v>79</v>
      </c>
      <c r="E213" s="77" t="s">
        <v>79</v>
      </c>
      <c r="F213" s="2"/>
      <c r="G213" s="2"/>
      <c r="H213" s="77" t="s">
        <v>79</v>
      </c>
      <c r="I213" s="2"/>
      <c r="J213" s="2"/>
      <c r="K213" s="2"/>
      <c r="L213" s="2"/>
      <c r="M213" s="2"/>
      <c r="N213" s="2"/>
      <c r="O213" s="2"/>
      <c r="P213" s="2"/>
      <c r="Q213" s="2"/>
      <c r="R213" s="2"/>
      <c r="S213" s="2"/>
      <c r="T213" s="2"/>
      <c r="U213" s="2"/>
      <c r="V213" s="2"/>
      <c r="W213" s="2"/>
      <c r="X213" s="2"/>
      <c r="Y213" s="2"/>
    </row>
    <row r="214" spans="1:25" x14ac:dyDescent="0.25">
      <c r="A214" s="2"/>
      <c r="B214" s="9"/>
      <c r="C214" s="17" t="s">
        <v>86</v>
      </c>
      <c r="D214" s="2" t="s">
        <v>87</v>
      </c>
      <c r="E214" s="2" t="s">
        <v>88</v>
      </c>
      <c r="F214" s="2"/>
      <c r="G214" s="2"/>
      <c r="H214" s="2" t="s">
        <v>89</v>
      </c>
      <c r="I214" s="2"/>
      <c r="J214" s="2" t="s">
        <v>90</v>
      </c>
      <c r="K214" s="2"/>
      <c r="L214" s="2"/>
      <c r="M214" s="2"/>
      <c r="N214" s="2"/>
      <c r="O214" s="2"/>
      <c r="P214" s="2"/>
      <c r="Q214" s="2"/>
      <c r="R214" s="2"/>
      <c r="S214" s="2"/>
      <c r="T214" s="2"/>
      <c r="U214" s="2"/>
      <c r="V214" s="2"/>
      <c r="W214" s="2"/>
      <c r="X214" s="2"/>
      <c r="Y214" s="2"/>
    </row>
    <row r="215" spans="1:25" x14ac:dyDescent="0.25">
      <c r="A215" s="2"/>
      <c r="B215" s="9"/>
      <c r="C215" s="2" t="s">
        <v>91</v>
      </c>
      <c r="D215" s="2" t="s">
        <v>92</v>
      </c>
      <c r="E215" s="2" t="s">
        <v>93</v>
      </c>
      <c r="F215" s="2"/>
      <c r="G215" s="2"/>
      <c r="H215" s="2" t="s">
        <v>94</v>
      </c>
      <c r="I215" s="2"/>
      <c r="J215" s="2" t="s">
        <v>95</v>
      </c>
      <c r="K215" s="2"/>
      <c r="L215" s="2"/>
      <c r="M215" s="2"/>
      <c r="N215" s="2"/>
      <c r="O215" s="2"/>
      <c r="P215" s="2"/>
      <c r="Q215" s="2"/>
      <c r="R215" s="2"/>
      <c r="S215" s="2"/>
      <c r="T215" s="2"/>
      <c r="U215" s="2"/>
      <c r="V215" s="2"/>
      <c r="W215" s="2"/>
      <c r="X215" s="2"/>
      <c r="Y215" s="2"/>
    </row>
    <row r="216" spans="1:25" x14ac:dyDescent="0.25">
      <c r="A216" s="2"/>
      <c r="B216" s="9"/>
      <c r="C216" s="2" t="s">
        <v>96</v>
      </c>
      <c r="D216" s="2" t="s">
        <v>97</v>
      </c>
      <c r="E216" s="2" t="s">
        <v>98</v>
      </c>
      <c r="F216" s="2"/>
      <c r="G216" s="2"/>
      <c r="H216" s="2" t="s">
        <v>99</v>
      </c>
      <c r="I216" s="2"/>
      <c r="J216" s="2"/>
      <c r="K216" s="2"/>
      <c r="L216" s="2"/>
      <c r="M216" s="2"/>
      <c r="N216" s="2"/>
      <c r="O216" s="2"/>
      <c r="P216" s="2"/>
      <c r="Q216" s="2"/>
      <c r="R216" s="2"/>
      <c r="S216" s="2"/>
      <c r="T216" s="2"/>
      <c r="U216" s="2"/>
      <c r="V216" s="2"/>
      <c r="W216" s="2"/>
      <c r="X216" s="2"/>
      <c r="Y216" s="2"/>
    </row>
    <row r="217" spans="1:25" x14ac:dyDescent="0.25">
      <c r="A217" s="2"/>
      <c r="B217" s="9"/>
      <c r="C217" s="2" t="s">
        <v>100</v>
      </c>
      <c r="D217" s="2" t="s">
        <v>101</v>
      </c>
      <c r="E217" s="2" t="s">
        <v>102</v>
      </c>
      <c r="F217" s="2"/>
      <c r="G217" s="2"/>
      <c r="H217" s="2" t="s">
        <v>103</v>
      </c>
      <c r="I217" s="2"/>
      <c r="J217" s="2"/>
      <c r="K217" s="2"/>
      <c r="L217" s="2"/>
      <c r="M217" s="2"/>
      <c r="N217" s="2"/>
      <c r="O217" s="2"/>
      <c r="P217" s="2"/>
      <c r="Q217" s="2"/>
      <c r="R217" s="2"/>
      <c r="S217" s="2"/>
      <c r="T217" s="2"/>
      <c r="U217" s="2"/>
      <c r="V217" s="2"/>
      <c r="W217" s="2"/>
      <c r="X217" s="2"/>
      <c r="Y217" s="2"/>
    </row>
    <row r="218" spans="1:25" x14ac:dyDescent="0.25">
      <c r="A218" s="2"/>
      <c r="B218" s="9"/>
      <c r="C218" s="2" t="s">
        <v>104</v>
      </c>
      <c r="D218" s="2"/>
      <c r="E218" s="2" t="s">
        <v>105</v>
      </c>
      <c r="F218" s="2"/>
      <c r="G218" s="2"/>
      <c r="H218" s="2" t="s">
        <v>105</v>
      </c>
      <c r="I218" s="2"/>
      <c r="J218" s="2"/>
      <c r="K218" s="2"/>
      <c r="L218" s="2"/>
      <c r="M218" s="2"/>
      <c r="N218" s="2"/>
      <c r="O218" s="2"/>
      <c r="P218" s="2"/>
      <c r="Q218" s="2"/>
      <c r="R218" s="2"/>
      <c r="S218" s="2"/>
      <c r="T218" s="2"/>
      <c r="U218" s="2"/>
      <c r="V218" s="2"/>
      <c r="W218" s="2"/>
      <c r="X218" s="2"/>
      <c r="Y218" s="2"/>
    </row>
    <row r="219" spans="1:25" x14ac:dyDescent="0.25">
      <c r="A219" s="2"/>
      <c r="B219" s="9"/>
      <c r="C219" s="2" t="s">
        <v>106</v>
      </c>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5">
      <c r="A220" s="2"/>
      <c r="B220" s="9"/>
      <c r="C220" s="2" t="s">
        <v>107</v>
      </c>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5">
      <c r="A221" s="2"/>
      <c r="B221" s="9"/>
      <c r="C221" s="2" t="s">
        <v>108</v>
      </c>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5">
      <c r="A222" s="2"/>
      <c r="B222" s="9"/>
      <c r="C222" s="17" t="s">
        <v>109</v>
      </c>
      <c r="D222" s="2"/>
      <c r="E222" s="2"/>
      <c r="F222" s="2"/>
      <c r="G222" s="2"/>
      <c r="H222" s="2"/>
      <c r="I222" s="2"/>
      <c r="J222" s="2"/>
      <c r="K222" s="2"/>
      <c r="L222" s="2"/>
      <c r="M222" s="2"/>
      <c r="N222" s="2"/>
      <c r="O222" s="2"/>
      <c r="P222" s="2"/>
      <c r="Q222" s="2"/>
      <c r="R222" s="2"/>
      <c r="S222" s="2"/>
      <c r="T222" s="2"/>
      <c r="U222" s="2"/>
      <c r="V222" s="2"/>
      <c r="W222" s="2"/>
      <c r="X222" s="2"/>
      <c r="Y222" s="2"/>
    </row>
  </sheetData>
  <sheetProtection formatCells="0" formatRows="0" insertRows="0" insertHyperlinks="0" deleteRows="0" selectLockedCells="1"/>
  <mergeCells count="155">
    <mergeCell ref="N152:P152"/>
    <mergeCell ref="N153:P153"/>
    <mergeCell ref="N154:P154"/>
    <mergeCell ref="N155:P155"/>
    <mergeCell ref="N150:P150"/>
    <mergeCell ref="N142:P142"/>
    <mergeCell ref="N143:P143"/>
    <mergeCell ref="N144:P144"/>
    <mergeCell ref="N145:P145"/>
    <mergeCell ref="N146:P146"/>
    <mergeCell ref="B148:P148"/>
    <mergeCell ref="N151:P151"/>
    <mergeCell ref="N141:P141"/>
    <mergeCell ref="B17:C17"/>
    <mergeCell ref="D17:E17"/>
    <mergeCell ref="B20:P20"/>
    <mergeCell ref="J22:P22"/>
    <mergeCell ref="J23:P23"/>
    <mergeCell ref="J129:P129"/>
    <mergeCell ref="J130:P130"/>
    <mergeCell ref="J131:P131"/>
    <mergeCell ref="J132:P132"/>
    <mergeCell ref="J136:P136"/>
    <mergeCell ref="B139:P139"/>
    <mergeCell ref="J24:P24"/>
    <mergeCell ref="J25:P25"/>
    <mergeCell ref="J26:P26"/>
    <mergeCell ref="J27:P27"/>
    <mergeCell ref="J33:P33"/>
    <mergeCell ref="J34:P34"/>
    <mergeCell ref="J35:P35"/>
    <mergeCell ref="J36:P36"/>
    <mergeCell ref="J37:P37"/>
    <mergeCell ref="J28:P28"/>
    <mergeCell ref="J29:P29"/>
    <mergeCell ref="J30:P30"/>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31:P31"/>
    <mergeCell ref="J32:P32"/>
    <mergeCell ref="J43:P43"/>
    <mergeCell ref="J44:P44"/>
    <mergeCell ref="J45:P45"/>
    <mergeCell ref="J46:P46"/>
    <mergeCell ref="J47:P47"/>
    <mergeCell ref="J38:P38"/>
    <mergeCell ref="J39:P39"/>
    <mergeCell ref="J40:P40"/>
    <mergeCell ref="J41:P41"/>
    <mergeCell ref="J42:P42"/>
    <mergeCell ref="J53:P53"/>
    <mergeCell ref="J54:P54"/>
    <mergeCell ref="J55:P55"/>
    <mergeCell ref="J56:P56"/>
    <mergeCell ref="J57:P57"/>
    <mergeCell ref="J48:P48"/>
    <mergeCell ref="J49:P49"/>
    <mergeCell ref="J50:P50"/>
    <mergeCell ref="J51:P51"/>
    <mergeCell ref="J52:P52"/>
    <mergeCell ref="J63:P63"/>
    <mergeCell ref="J64:P64"/>
    <mergeCell ref="J65:P65"/>
    <mergeCell ref="J66:P66"/>
    <mergeCell ref="J67:P67"/>
    <mergeCell ref="J58:P58"/>
    <mergeCell ref="J59:P59"/>
    <mergeCell ref="J60:P60"/>
    <mergeCell ref="J61:P61"/>
    <mergeCell ref="J62:P62"/>
    <mergeCell ref="J73:P73"/>
    <mergeCell ref="J74:P74"/>
    <mergeCell ref="J75:P75"/>
    <mergeCell ref="J76:P76"/>
    <mergeCell ref="J77:P77"/>
    <mergeCell ref="J68:P68"/>
    <mergeCell ref="J69:P69"/>
    <mergeCell ref="J70:P70"/>
    <mergeCell ref="J71:P71"/>
    <mergeCell ref="J72:P72"/>
    <mergeCell ref="J83:P83"/>
    <mergeCell ref="J84:P84"/>
    <mergeCell ref="J85:P85"/>
    <mergeCell ref="J86:P86"/>
    <mergeCell ref="J87:P87"/>
    <mergeCell ref="J78:P78"/>
    <mergeCell ref="J79:P79"/>
    <mergeCell ref="J80:P80"/>
    <mergeCell ref="J81:P81"/>
    <mergeCell ref="J82:P82"/>
    <mergeCell ref="J93:P93"/>
    <mergeCell ref="J94:P94"/>
    <mergeCell ref="J95:P95"/>
    <mergeCell ref="J96:P96"/>
    <mergeCell ref="J97:P97"/>
    <mergeCell ref="J88:P88"/>
    <mergeCell ref="J89:P89"/>
    <mergeCell ref="J90:P90"/>
    <mergeCell ref="J91:P91"/>
    <mergeCell ref="J92:P92"/>
    <mergeCell ref="J98:P98"/>
    <mergeCell ref="J99:P99"/>
    <mergeCell ref="J100:P100"/>
    <mergeCell ref="J101:P101"/>
    <mergeCell ref="J108:P108"/>
    <mergeCell ref="J109:P109"/>
    <mergeCell ref="J110:P110"/>
    <mergeCell ref="J111:P111"/>
    <mergeCell ref="J103:P103"/>
    <mergeCell ref="J102:P102"/>
    <mergeCell ref="J104:P104"/>
    <mergeCell ref="J105:P105"/>
    <mergeCell ref="J106:P106"/>
    <mergeCell ref="J107:P107"/>
    <mergeCell ref="J117:P117"/>
    <mergeCell ref="J118:P118"/>
    <mergeCell ref="J119:P119"/>
    <mergeCell ref="J120:P120"/>
    <mergeCell ref="J121:P121"/>
    <mergeCell ref="J112:P112"/>
    <mergeCell ref="J113:P113"/>
    <mergeCell ref="J114:P114"/>
    <mergeCell ref="J115:P115"/>
    <mergeCell ref="J116:P116"/>
    <mergeCell ref="J135:P135"/>
    <mergeCell ref="J127:P127"/>
    <mergeCell ref="J128:P128"/>
    <mergeCell ref="J133:P133"/>
    <mergeCell ref="J134:P134"/>
    <mergeCell ref="J122:P122"/>
    <mergeCell ref="J123:P123"/>
    <mergeCell ref="J124:P124"/>
    <mergeCell ref="J125:P125"/>
    <mergeCell ref="J126:P126"/>
  </mergeCells>
  <conditionalFormatting sqref="H151:H155">
    <cfRule type="cellIs" dxfId="7" priority="6" stopIfTrue="1" operator="equal">
      <formula>0</formula>
    </cfRule>
  </conditionalFormatting>
  <conditionalFormatting sqref="G151:G155">
    <cfRule type="cellIs" dxfId="6" priority="5" stopIfTrue="1" operator="equal">
      <formula>1</formula>
    </cfRule>
  </conditionalFormatting>
  <conditionalFormatting sqref="H142:H145">
    <cfRule type="cellIs" dxfId="5" priority="4" stopIfTrue="1" operator="equal">
      <formula>0</formula>
    </cfRule>
  </conditionalFormatting>
  <conditionalFormatting sqref="G142:G145">
    <cfRule type="cellIs" dxfId="4" priority="3" stopIfTrue="1" operator="equal">
      <formula>1</formula>
    </cfRule>
  </conditionalFormatting>
  <dataValidations count="7">
    <dataValidation type="list" allowBlank="1" showInputMessage="1" showErrorMessage="1" sqref="L142:L145 L151:L154">
      <formula1>$H$213:$H$218</formula1>
    </dataValidation>
    <dataValidation type="list" allowBlank="1" showInputMessage="1" showErrorMessage="1" sqref="K142:K145 K151:K154">
      <formula1>$J$213:$J$215</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$C$213:$C$222</formula1>
    </dataValidation>
    <dataValidation type="list" allowBlank="1" showInputMessage="1" showErrorMessage="1" sqref="D14:E14">
      <formula1>$D$213:$D$217</formula1>
    </dataValidation>
    <dataValidation type="list" allowBlank="1" showInputMessage="1" showErrorMessage="1" sqref="D16:E16">
      <formula1>$E$213:$E$218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56" t="s">
        <v>13</v>
      </c>
      <c r="B1" s="356"/>
      <c r="C1" s="356"/>
      <c r="D1" s="356"/>
      <c r="E1" s="356"/>
      <c r="F1" s="356"/>
      <c r="G1" s="356"/>
      <c r="H1" s="356"/>
      <c r="I1" s="356"/>
      <c r="J1" s="356"/>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8"/>
      <c r="B2" s="78"/>
      <c r="C2" s="78"/>
      <c r="D2" s="78"/>
      <c r="E2" s="78"/>
      <c r="F2" s="78"/>
      <c r="G2" s="78"/>
      <c r="H2" s="78"/>
      <c r="I2" s="78"/>
      <c r="J2" s="78"/>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8"/>
      <c r="B3" s="357" t="s">
        <v>58</v>
      </c>
      <c r="C3" s="79" t="s">
        <v>110</v>
      </c>
      <c r="D3" s="359" t="s">
        <v>111</v>
      </c>
      <c r="E3" s="360"/>
      <c r="F3" s="361"/>
      <c r="G3" s="362" t="s">
        <v>112</v>
      </c>
      <c r="H3" s="78"/>
      <c r="I3" s="78"/>
      <c r="J3" s="78"/>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58"/>
      <c r="C4" s="80">
        <v>3</v>
      </c>
      <c r="D4" s="81">
        <v>1</v>
      </c>
      <c r="E4" s="82">
        <v>2</v>
      </c>
      <c r="F4" s="83">
        <v>3</v>
      </c>
      <c r="G4" s="363"/>
    </row>
    <row r="5" spans="1:38" ht="15" customHeight="1" x14ac:dyDescent="0.25">
      <c r="B5" s="358"/>
      <c r="C5" s="84" t="str">
        <f>D5</f>
        <v>Rare earth oxide formation</v>
      </c>
      <c r="D5" s="364" t="str">
        <f>'Data Summary'!D4</f>
        <v>Rare earth oxide formation</v>
      </c>
      <c r="E5" s="365"/>
      <c r="F5" s="366"/>
      <c r="G5" s="363"/>
    </row>
    <row r="6" spans="1:38" x14ac:dyDescent="0.25">
      <c r="B6" s="358"/>
      <c r="C6" s="85" t="str">
        <f>HLOOKUP($C$4,$D$4:$F$13,3,FALSE)</f>
        <v>Scenario 3 Name</v>
      </c>
      <c r="D6" s="86" t="s">
        <v>113</v>
      </c>
      <c r="E6" s="87" t="s">
        <v>114</v>
      </c>
      <c r="F6" s="88" t="s">
        <v>115</v>
      </c>
      <c r="G6" s="363"/>
    </row>
    <row r="7" spans="1:38" ht="15" customHeight="1" x14ac:dyDescent="0.25">
      <c r="B7" s="89" t="s">
        <v>116</v>
      </c>
      <c r="C7" s="90">
        <f>HLOOKUP($C$4,$D$4:$F$13,4,FALSE)</f>
        <v>0</v>
      </c>
      <c r="D7" s="91"/>
      <c r="E7" s="92"/>
      <c r="F7" s="93"/>
      <c r="G7" s="94" t="s">
        <v>117</v>
      </c>
    </row>
    <row r="8" spans="1:38" ht="15" customHeight="1" x14ac:dyDescent="0.25">
      <c r="B8" s="95" t="s">
        <v>118</v>
      </c>
      <c r="C8" s="96">
        <f>HLOOKUP($C$4,$D$4:$F$13,5,FALSE)</f>
        <v>0</v>
      </c>
      <c r="D8" s="97"/>
      <c r="E8" s="98"/>
      <c r="F8" s="99"/>
      <c r="G8" s="100"/>
    </row>
    <row r="9" spans="1:38" ht="15" customHeight="1" x14ac:dyDescent="0.25">
      <c r="B9" s="101"/>
      <c r="C9" s="102">
        <f>HLOOKUP($C$4,$D$4:$F$13,6,FALSE)</f>
        <v>0</v>
      </c>
      <c r="D9" s="103"/>
      <c r="E9" s="104"/>
      <c r="F9" s="105"/>
      <c r="G9" s="100"/>
    </row>
    <row r="10" spans="1:38" ht="15" customHeight="1" x14ac:dyDescent="0.25">
      <c r="B10" s="101"/>
      <c r="C10" s="102">
        <f>HLOOKUP($C$4,$D$4:$F$13,7,FALSE)</f>
        <v>0</v>
      </c>
      <c r="D10" s="103"/>
      <c r="E10" s="104"/>
      <c r="F10" s="105"/>
      <c r="G10" s="100"/>
    </row>
    <row r="11" spans="1:38" ht="15" customHeight="1" x14ac:dyDescent="0.25">
      <c r="B11" s="101"/>
      <c r="C11" s="106">
        <f>HLOOKUP($C$4,$D$4:$F$13,8,FALSE)</f>
        <v>0</v>
      </c>
      <c r="D11" s="107"/>
      <c r="E11" s="108"/>
      <c r="F11" s="109"/>
      <c r="G11" s="100"/>
    </row>
    <row r="12" spans="1:38" ht="15" customHeight="1" x14ac:dyDescent="0.25">
      <c r="B12" s="101"/>
      <c r="C12" s="106">
        <f>HLOOKUP($C$4,$D$4:$F$13,9,FALSE)</f>
        <v>0</v>
      </c>
      <c r="D12" s="107"/>
      <c r="E12" s="108"/>
      <c r="F12" s="109"/>
      <c r="G12" s="100"/>
    </row>
    <row r="13" spans="1:38" ht="15" customHeight="1" thickBot="1" x14ac:dyDescent="0.3">
      <c r="B13" s="110"/>
      <c r="C13" s="111">
        <f>HLOOKUP($C$4,$D$4:$F$13,10,FALSE)</f>
        <v>0</v>
      </c>
      <c r="D13" s="112"/>
      <c r="E13" s="113"/>
      <c r="F13" s="114"/>
      <c r="G13" s="115"/>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6" t="s">
        <v>119</v>
      </c>
    </row>
    <row r="20" spans="2:7" x14ac:dyDescent="0.25">
      <c r="B20" s="117" t="s">
        <v>111</v>
      </c>
      <c r="C20" s="367" t="s">
        <v>9</v>
      </c>
      <c r="D20" s="367"/>
      <c r="E20" s="367"/>
      <c r="F20" s="367"/>
      <c r="G20" s="367"/>
    </row>
    <row r="21" spans="2:7" ht="30" customHeight="1" x14ac:dyDescent="0.25">
      <c r="B21" s="118">
        <v>1</v>
      </c>
      <c r="C21" s="353" t="s">
        <v>120</v>
      </c>
      <c r="D21" s="353"/>
      <c r="E21" s="353"/>
      <c r="F21" s="353"/>
      <c r="G21" s="353"/>
    </row>
    <row r="22" spans="2:7" ht="30" customHeight="1" x14ac:dyDescent="0.25">
      <c r="B22" s="118">
        <v>2</v>
      </c>
      <c r="C22" s="354"/>
      <c r="D22" s="354"/>
      <c r="E22" s="354"/>
      <c r="F22" s="354"/>
      <c r="G22" s="354"/>
    </row>
    <row r="23" spans="2:7" ht="30" customHeight="1" x14ac:dyDescent="0.25">
      <c r="B23" s="119">
        <v>3</v>
      </c>
      <c r="C23" s="355"/>
      <c r="D23" s="355"/>
      <c r="E23" s="355"/>
      <c r="F23" s="355"/>
      <c r="G23" s="355"/>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topLeftCell="A2" zoomScale="80" zoomScaleNormal="80" workbookViewId="0">
      <selection activeCell="I3" sqref="I3:I26"/>
    </sheetView>
  </sheetViews>
  <sheetFormatPr defaultColWidth="36.85546875" defaultRowHeight="12.75" customHeight="1" x14ac:dyDescent="0.25"/>
  <cols>
    <col min="1" max="1" width="18.5703125" style="172" customWidth="1"/>
    <col min="2" max="10" width="31.42578125" style="171" customWidth="1"/>
    <col min="11" max="27" width="36.85546875" style="171" customWidth="1"/>
    <col min="28" max="28" width="37" style="171" customWidth="1"/>
    <col min="29" max="35" width="36.85546875" style="171" customWidth="1"/>
    <col min="36" max="44" width="36.85546875" style="172" customWidth="1"/>
    <col min="45" max="45" width="37.140625" style="172" customWidth="1"/>
    <col min="46" max="47" width="36.85546875" style="172" customWidth="1"/>
    <col min="48" max="48" width="36.5703125" style="172" customWidth="1"/>
    <col min="49" max="50" width="36.85546875" style="172" customWidth="1"/>
    <col min="51" max="51" width="36.5703125" style="172" customWidth="1"/>
    <col min="52" max="52" width="37" style="172" customWidth="1"/>
    <col min="53" max="71" width="36.85546875" style="172" customWidth="1"/>
    <col min="72" max="72" width="37" style="172" customWidth="1"/>
    <col min="73" max="90" width="36.85546875" style="172" customWidth="1"/>
    <col min="91" max="91" width="36.5703125" style="172" customWidth="1"/>
    <col min="92" max="104" width="36.85546875" style="172" customWidth="1"/>
    <col min="105" max="105" width="36.5703125" style="172" customWidth="1"/>
    <col min="106" max="108" width="36.85546875" style="172" customWidth="1"/>
    <col min="109" max="109" width="36.5703125" style="172" customWidth="1"/>
    <col min="110" max="117" width="36.85546875" style="172" customWidth="1"/>
    <col min="118" max="118" width="36.5703125" style="172" customWidth="1"/>
    <col min="119" max="256" width="36.85546875" style="172"/>
    <col min="257" max="257" width="18.5703125" style="172" customWidth="1"/>
    <col min="258" max="266" width="31.42578125" style="172" customWidth="1"/>
    <col min="267" max="283" width="36.85546875" style="172" customWidth="1"/>
    <col min="284" max="284" width="37" style="172" customWidth="1"/>
    <col min="285" max="300" width="36.85546875" style="172" customWidth="1"/>
    <col min="301" max="301" width="37.140625" style="172" customWidth="1"/>
    <col min="302" max="303" width="36.85546875" style="172" customWidth="1"/>
    <col min="304" max="304" width="36.5703125" style="172" customWidth="1"/>
    <col min="305" max="306" width="36.85546875" style="172" customWidth="1"/>
    <col min="307" max="307" width="36.5703125" style="172" customWidth="1"/>
    <col min="308" max="308" width="37" style="172" customWidth="1"/>
    <col min="309" max="327" width="36.85546875" style="172" customWidth="1"/>
    <col min="328" max="328" width="37" style="172" customWidth="1"/>
    <col min="329" max="346" width="36.85546875" style="172" customWidth="1"/>
    <col min="347" max="347" width="36.5703125" style="172" customWidth="1"/>
    <col min="348" max="360" width="36.85546875" style="172" customWidth="1"/>
    <col min="361" max="361" width="36.5703125" style="172" customWidth="1"/>
    <col min="362" max="364" width="36.85546875" style="172" customWidth="1"/>
    <col min="365" max="365" width="36.5703125" style="172" customWidth="1"/>
    <col min="366" max="373" width="36.85546875" style="172" customWidth="1"/>
    <col min="374" max="374" width="36.5703125" style="172" customWidth="1"/>
    <col min="375" max="512" width="36.85546875" style="172"/>
    <col min="513" max="513" width="18.5703125" style="172" customWidth="1"/>
    <col min="514" max="522" width="31.42578125" style="172" customWidth="1"/>
    <col min="523" max="539" width="36.85546875" style="172" customWidth="1"/>
    <col min="540" max="540" width="37" style="172" customWidth="1"/>
    <col min="541" max="556" width="36.85546875" style="172" customWidth="1"/>
    <col min="557" max="557" width="37.140625" style="172" customWidth="1"/>
    <col min="558" max="559" width="36.85546875" style="172" customWidth="1"/>
    <col min="560" max="560" width="36.5703125" style="172" customWidth="1"/>
    <col min="561" max="562" width="36.85546875" style="172" customWidth="1"/>
    <col min="563" max="563" width="36.5703125" style="172" customWidth="1"/>
    <col min="564" max="564" width="37" style="172" customWidth="1"/>
    <col min="565" max="583" width="36.85546875" style="172" customWidth="1"/>
    <col min="584" max="584" width="37" style="172" customWidth="1"/>
    <col min="585" max="602" width="36.85546875" style="172" customWidth="1"/>
    <col min="603" max="603" width="36.5703125" style="172" customWidth="1"/>
    <col min="604" max="616" width="36.85546875" style="172" customWidth="1"/>
    <col min="617" max="617" width="36.5703125" style="172" customWidth="1"/>
    <col min="618" max="620" width="36.85546875" style="172" customWidth="1"/>
    <col min="621" max="621" width="36.5703125" style="172" customWidth="1"/>
    <col min="622" max="629" width="36.85546875" style="172" customWidth="1"/>
    <col min="630" max="630" width="36.5703125" style="172" customWidth="1"/>
    <col min="631" max="768" width="36.85546875" style="172"/>
    <col min="769" max="769" width="18.5703125" style="172" customWidth="1"/>
    <col min="770" max="778" width="31.42578125" style="172" customWidth="1"/>
    <col min="779" max="795" width="36.85546875" style="172" customWidth="1"/>
    <col min="796" max="796" width="37" style="172" customWidth="1"/>
    <col min="797" max="812" width="36.85546875" style="172" customWidth="1"/>
    <col min="813" max="813" width="37.140625" style="172" customWidth="1"/>
    <col min="814" max="815" width="36.85546875" style="172" customWidth="1"/>
    <col min="816" max="816" width="36.5703125" style="172" customWidth="1"/>
    <col min="817" max="818" width="36.85546875" style="172" customWidth="1"/>
    <col min="819" max="819" width="36.5703125" style="172" customWidth="1"/>
    <col min="820" max="820" width="37" style="172" customWidth="1"/>
    <col min="821" max="839" width="36.85546875" style="172" customWidth="1"/>
    <col min="840" max="840" width="37" style="172" customWidth="1"/>
    <col min="841" max="858" width="36.85546875" style="172" customWidth="1"/>
    <col min="859" max="859" width="36.5703125" style="172" customWidth="1"/>
    <col min="860" max="872" width="36.85546875" style="172" customWidth="1"/>
    <col min="873" max="873" width="36.5703125" style="172" customWidth="1"/>
    <col min="874" max="876" width="36.85546875" style="172" customWidth="1"/>
    <col min="877" max="877" width="36.5703125" style="172" customWidth="1"/>
    <col min="878" max="885" width="36.85546875" style="172" customWidth="1"/>
    <col min="886" max="886" width="36.5703125" style="172" customWidth="1"/>
    <col min="887" max="1024" width="36.85546875" style="172"/>
    <col min="1025" max="1025" width="18.5703125" style="172" customWidth="1"/>
    <col min="1026" max="1034" width="31.42578125" style="172" customWidth="1"/>
    <col min="1035" max="1051" width="36.85546875" style="172" customWidth="1"/>
    <col min="1052" max="1052" width="37" style="172" customWidth="1"/>
    <col min="1053" max="1068" width="36.85546875" style="172" customWidth="1"/>
    <col min="1069" max="1069" width="37.140625" style="172" customWidth="1"/>
    <col min="1070" max="1071" width="36.85546875" style="172" customWidth="1"/>
    <col min="1072" max="1072" width="36.5703125" style="172" customWidth="1"/>
    <col min="1073" max="1074" width="36.85546875" style="172" customWidth="1"/>
    <col min="1075" max="1075" width="36.5703125" style="172" customWidth="1"/>
    <col min="1076" max="1076" width="37" style="172" customWidth="1"/>
    <col min="1077" max="1095" width="36.85546875" style="172" customWidth="1"/>
    <col min="1096" max="1096" width="37" style="172" customWidth="1"/>
    <col min="1097" max="1114" width="36.85546875" style="172" customWidth="1"/>
    <col min="1115" max="1115" width="36.5703125" style="172" customWidth="1"/>
    <col min="1116" max="1128" width="36.85546875" style="172" customWidth="1"/>
    <col min="1129" max="1129" width="36.5703125" style="172" customWidth="1"/>
    <col min="1130" max="1132" width="36.85546875" style="172" customWidth="1"/>
    <col min="1133" max="1133" width="36.5703125" style="172" customWidth="1"/>
    <col min="1134" max="1141" width="36.85546875" style="172" customWidth="1"/>
    <col min="1142" max="1142" width="36.5703125" style="172" customWidth="1"/>
    <col min="1143" max="1280" width="36.85546875" style="172"/>
    <col min="1281" max="1281" width="18.5703125" style="172" customWidth="1"/>
    <col min="1282" max="1290" width="31.42578125" style="172" customWidth="1"/>
    <col min="1291" max="1307" width="36.85546875" style="172" customWidth="1"/>
    <col min="1308" max="1308" width="37" style="172" customWidth="1"/>
    <col min="1309" max="1324" width="36.85546875" style="172" customWidth="1"/>
    <col min="1325" max="1325" width="37.140625" style="172" customWidth="1"/>
    <col min="1326" max="1327" width="36.85546875" style="172" customWidth="1"/>
    <col min="1328" max="1328" width="36.5703125" style="172" customWidth="1"/>
    <col min="1329" max="1330" width="36.85546875" style="172" customWidth="1"/>
    <col min="1331" max="1331" width="36.5703125" style="172" customWidth="1"/>
    <col min="1332" max="1332" width="37" style="172" customWidth="1"/>
    <col min="1333" max="1351" width="36.85546875" style="172" customWidth="1"/>
    <col min="1352" max="1352" width="37" style="172" customWidth="1"/>
    <col min="1353" max="1370" width="36.85546875" style="172" customWidth="1"/>
    <col min="1371" max="1371" width="36.5703125" style="172" customWidth="1"/>
    <col min="1372" max="1384" width="36.85546875" style="172" customWidth="1"/>
    <col min="1385" max="1385" width="36.5703125" style="172" customWidth="1"/>
    <col min="1386" max="1388" width="36.85546875" style="172" customWidth="1"/>
    <col min="1389" max="1389" width="36.5703125" style="172" customWidth="1"/>
    <col min="1390" max="1397" width="36.85546875" style="172" customWidth="1"/>
    <col min="1398" max="1398" width="36.5703125" style="172" customWidth="1"/>
    <col min="1399" max="1536" width="36.85546875" style="172"/>
    <col min="1537" max="1537" width="18.5703125" style="172" customWidth="1"/>
    <col min="1538" max="1546" width="31.42578125" style="172" customWidth="1"/>
    <col min="1547" max="1563" width="36.85546875" style="172" customWidth="1"/>
    <col min="1564" max="1564" width="37" style="172" customWidth="1"/>
    <col min="1565" max="1580" width="36.85546875" style="172" customWidth="1"/>
    <col min="1581" max="1581" width="37.140625" style="172" customWidth="1"/>
    <col min="1582" max="1583" width="36.85546875" style="172" customWidth="1"/>
    <col min="1584" max="1584" width="36.5703125" style="172" customWidth="1"/>
    <col min="1585" max="1586" width="36.85546875" style="172" customWidth="1"/>
    <col min="1587" max="1587" width="36.5703125" style="172" customWidth="1"/>
    <col min="1588" max="1588" width="37" style="172" customWidth="1"/>
    <col min="1589" max="1607" width="36.85546875" style="172" customWidth="1"/>
    <col min="1608" max="1608" width="37" style="172" customWidth="1"/>
    <col min="1609" max="1626" width="36.85546875" style="172" customWidth="1"/>
    <col min="1627" max="1627" width="36.5703125" style="172" customWidth="1"/>
    <col min="1628" max="1640" width="36.85546875" style="172" customWidth="1"/>
    <col min="1641" max="1641" width="36.5703125" style="172" customWidth="1"/>
    <col min="1642" max="1644" width="36.85546875" style="172" customWidth="1"/>
    <col min="1645" max="1645" width="36.5703125" style="172" customWidth="1"/>
    <col min="1646" max="1653" width="36.85546875" style="172" customWidth="1"/>
    <col min="1654" max="1654" width="36.5703125" style="172" customWidth="1"/>
    <col min="1655" max="1792" width="36.85546875" style="172"/>
    <col min="1793" max="1793" width="18.5703125" style="172" customWidth="1"/>
    <col min="1794" max="1802" width="31.42578125" style="172" customWidth="1"/>
    <col min="1803" max="1819" width="36.85546875" style="172" customWidth="1"/>
    <col min="1820" max="1820" width="37" style="172" customWidth="1"/>
    <col min="1821" max="1836" width="36.85546875" style="172" customWidth="1"/>
    <col min="1837" max="1837" width="37.140625" style="172" customWidth="1"/>
    <col min="1838" max="1839" width="36.85546875" style="172" customWidth="1"/>
    <col min="1840" max="1840" width="36.5703125" style="172" customWidth="1"/>
    <col min="1841" max="1842" width="36.85546875" style="172" customWidth="1"/>
    <col min="1843" max="1843" width="36.5703125" style="172" customWidth="1"/>
    <col min="1844" max="1844" width="37" style="172" customWidth="1"/>
    <col min="1845" max="1863" width="36.85546875" style="172" customWidth="1"/>
    <col min="1864" max="1864" width="37" style="172" customWidth="1"/>
    <col min="1865" max="1882" width="36.85546875" style="172" customWidth="1"/>
    <col min="1883" max="1883" width="36.5703125" style="172" customWidth="1"/>
    <col min="1884" max="1896" width="36.85546875" style="172" customWidth="1"/>
    <col min="1897" max="1897" width="36.5703125" style="172" customWidth="1"/>
    <col min="1898" max="1900" width="36.85546875" style="172" customWidth="1"/>
    <col min="1901" max="1901" width="36.5703125" style="172" customWidth="1"/>
    <col min="1902" max="1909" width="36.85546875" style="172" customWidth="1"/>
    <col min="1910" max="1910" width="36.5703125" style="172" customWidth="1"/>
    <col min="1911" max="2048" width="36.85546875" style="172"/>
    <col min="2049" max="2049" width="18.5703125" style="172" customWidth="1"/>
    <col min="2050" max="2058" width="31.42578125" style="172" customWidth="1"/>
    <col min="2059" max="2075" width="36.85546875" style="172" customWidth="1"/>
    <col min="2076" max="2076" width="37" style="172" customWidth="1"/>
    <col min="2077" max="2092" width="36.85546875" style="172" customWidth="1"/>
    <col min="2093" max="2093" width="37.140625" style="172" customWidth="1"/>
    <col min="2094" max="2095" width="36.85546875" style="172" customWidth="1"/>
    <col min="2096" max="2096" width="36.5703125" style="172" customWidth="1"/>
    <col min="2097" max="2098" width="36.85546875" style="172" customWidth="1"/>
    <col min="2099" max="2099" width="36.5703125" style="172" customWidth="1"/>
    <col min="2100" max="2100" width="37" style="172" customWidth="1"/>
    <col min="2101" max="2119" width="36.85546875" style="172" customWidth="1"/>
    <col min="2120" max="2120" width="37" style="172" customWidth="1"/>
    <col min="2121" max="2138" width="36.85546875" style="172" customWidth="1"/>
    <col min="2139" max="2139" width="36.5703125" style="172" customWidth="1"/>
    <col min="2140" max="2152" width="36.85546875" style="172" customWidth="1"/>
    <col min="2153" max="2153" width="36.5703125" style="172" customWidth="1"/>
    <col min="2154" max="2156" width="36.85546875" style="172" customWidth="1"/>
    <col min="2157" max="2157" width="36.5703125" style="172" customWidth="1"/>
    <col min="2158" max="2165" width="36.85546875" style="172" customWidth="1"/>
    <col min="2166" max="2166" width="36.5703125" style="172" customWidth="1"/>
    <col min="2167" max="2304" width="36.85546875" style="172"/>
    <col min="2305" max="2305" width="18.5703125" style="172" customWidth="1"/>
    <col min="2306" max="2314" width="31.42578125" style="172" customWidth="1"/>
    <col min="2315" max="2331" width="36.85546875" style="172" customWidth="1"/>
    <col min="2332" max="2332" width="37" style="172" customWidth="1"/>
    <col min="2333" max="2348" width="36.85546875" style="172" customWidth="1"/>
    <col min="2349" max="2349" width="37.140625" style="172" customWidth="1"/>
    <col min="2350" max="2351" width="36.85546875" style="172" customWidth="1"/>
    <col min="2352" max="2352" width="36.5703125" style="172" customWidth="1"/>
    <col min="2353" max="2354" width="36.85546875" style="172" customWidth="1"/>
    <col min="2355" max="2355" width="36.5703125" style="172" customWidth="1"/>
    <col min="2356" max="2356" width="37" style="172" customWidth="1"/>
    <col min="2357" max="2375" width="36.85546875" style="172" customWidth="1"/>
    <col min="2376" max="2376" width="37" style="172" customWidth="1"/>
    <col min="2377" max="2394" width="36.85546875" style="172" customWidth="1"/>
    <col min="2395" max="2395" width="36.5703125" style="172" customWidth="1"/>
    <col min="2396" max="2408" width="36.85546875" style="172" customWidth="1"/>
    <col min="2409" max="2409" width="36.5703125" style="172" customWidth="1"/>
    <col min="2410" max="2412" width="36.85546875" style="172" customWidth="1"/>
    <col min="2413" max="2413" width="36.5703125" style="172" customWidth="1"/>
    <col min="2414" max="2421" width="36.85546875" style="172" customWidth="1"/>
    <col min="2422" max="2422" width="36.5703125" style="172" customWidth="1"/>
    <col min="2423" max="2560" width="36.85546875" style="172"/>
    <col min="2561" max="2561" width="18.5703125" style="172" customWidth="1"/>
    <col min="2562" max="2570" width="31.42578125" style="172" customWidth="1"/>
    <col min="2571" max="2587" width="36.85546875" style="172" customWidth="1"/>
    <col min="2588" max="2588" width="37" style="172" customWidth="1"/>
    <col min="2589" max="2604" width="36.85546875" style="172" customWidth="1"/>
    <col min="2605" max="2605" width="37.140625" style="172" customWidth="1"/>
    <col min="2606" max="2607" width="36.85546875" style="172" customWidth="1"/>
    <col min="2608" max="2608" width="36.5703125" style="172" customWidth="1"/>
    <col min="2609" max="2610" width="36.85546875" style="172" customWidth="1"/>
    <col min="2611" max="2611" width="36.5703125" style="172" customWidth="1"/>
    <col min="2612" max="2612" width="37" style="172" customWidth="1"/>
    <col min="2613" max="2631" width="36.85546875" style="172" customWidth="1"/>
    <col min="2632" max="2632" width="37" style="172" customWidth="1"/>
    <col min="2633" max="2650" width="36.85546875" style="172" customWidth="1"/>
    <col min="2651" max="2651" width="36.5703125" style="172" customWidth="1"/>
    <col min="2652" max="2664" width="36.85546875" style="172" customWidth="1"/>
    <col min="2665" max="2665" width="36.5703125" style="172" customWidth="1"/>
    <col min="2666" max="2668" width="36.85546875" style="172" customWidth="1"/>
    <col min="2669" max="2669" width="36.5703125" style="172" customWidth="1"/>
    <col min="2670" max="2677" width="36.85546875" style="172" customWidth="1"/>
    <col min="2678" max="2678" width="36.5703125" style="172" customWidth="1"/>
    <col min="2679" max="2816" width="36.85546875" style="172"/>
    <col min="2817" max="2817" width="18.5703125" style="172" customWidth="1"/>
    <col min="2818" max="2826" width="31.42578125" style="172" customWidth="1"/>
    <col min="2827" max="2843" width="36.85546875" style="172" customWidth="1"/>
    <col min="2844" max="2844" width="37" style="172" customWidth="1"/>
    <col min="2845" max="2860" width="36.85546875" style="172" customWidth="1"/>
    <col min="2861" max="2861" width="37.140625" style="172" customWidth="1"/>
    <col min="2862" max="2863" width="36.85546875" style="172" customWidth="1"/>
    <col min="2864" max="2864" width="36.5703125" style="172" customWidth="1"/>
    <col min="2865" max="2866" width="36.85546875" style="172" customWidth="1"/>
    <col min="2867" max="2867" width="36.5703125" style="172" customWidth="1"/>
    <col min="2868" max="2868" width="37" style="172" customWidth="1"/>
    <col min="2869" max="2887" width="36.85546875" style="172" customWidth="1"/>
    <col min="2888" max="2888" width="37" style="172" customWidth="1"/>
    <col min="2889" max="2906" width="36.85546875" style="172" customWidth="1"/>
    <col min="2907" max="2907" width="36.5703125" style="172" customWidth="1"/>
    <col min="2908" max="2920" width="36.85546875" style="172" customWidth="1"/>
    <col min="2921" max="2921" width="36.5703125" style="172" customWidth="1"/>
    <col min="2922" max="2924" width="36.85546875" style="172" customWidth="1"/>
    <col min="2925" max="2925" width="36.5703125" style="172" customWidth="1"/>
    <col min="2926" max="2933" width="36.85546875" style="172" customWidth="1"/>
    <col min="2934" max="2934" width="36.5703125" style="172" customWidth="1"/>
    <col min="2935" max="3072" width="36.85546875" style="172"/>
    <col min="3073" max="3073" width="18.5703125" style="172" customWidth="1"/>
    <col min="3074" max="3082" width="31.42578125" style="172" customWidth="1"/>
    <col min="3083" max="3099" width="36.85546875" style="172" customWidth="1"/>
    <col min="3100" max="3100" width="37" style="172" customWidth="1"/>
    <col min="3101" max="3116" width="36.85546875" style="172" customWidth="1"/>
    <col min="3117" max="3117" width="37.140625" style="172" customWidth="1"/>
    <col min="3118" max="3119" width="36.85546875" style="172" customWidth="1"/>
    <col min="3120" max="3120" width="36.5703125" style="172" customWidth="1"/>
    <col min="3121" max="3122" width="36.85546875" style="172" customWidth="1"/>
    <col min="3123" max="3123" width="36.5703125" style="172" customWidth="1"/>
    <col min="3124" max="3124" width="37" style="172" customWidth="1"/>
    <col min="3125" max="3143" width="36.85546875" style="172" customWidth="1"/>
    <col min="3144" max="3144" width="37" style="172" customWidth="1"/>
    <col min="3145" max="3162" width="36.85546875" style="172" customWidth="1"/>
    <col min="3163" max="3163" width="36.5703125" style="172" customWidth="1"/>
    <col min="3164" max="3176" width="36.85546875" style="172" customWidth="1"/>
    <col min="3177" max="3177" width="36.5703125" style="172" customWidth="1"/>
    <col min="3178" max="3180" width="36.85546875" style="172" customWidth="1"/>
    <col min="3181" max="3181" width="36.5703125" style="172" customWidth="1"/>
    <col min="3182" max="3189" width="36.85546875" style="172" customWidth="1"/>
    <col min="3190" max="3190" width="36.5703125" style="172" customWidth="1"/>
    <col min="3191" max="3328" width="36.85546875" style="172"/>
    <col min="3329" max="3329" width="18.5703125" style="172" customWidth="1"/>
    <col min="3330" max="3338" width="31.42578125" style="172" customWidth="1"/>
    <col min="3339" max="3355" width="36.85546875" style="172" customWidth="1"/>
    <col min="3356" max="3356" width="37" style="172" customWidth="1"/>
    <col min="3357" max="3372" width="36.85546875" style="172" customWidth="1"/>
    <col min="3373" max="3373" width="37.140625" style="172" customWidth="1"/>
    <col min="3374" max="3375" width="36.85546875" style="172" customWidth="1"/>
    <col min="3376" max="3376" width="36.5703125" style="172" customWidth="1"/>
    <col min="3377" max="3378" width="36.85546875" style="172" customWidth="1"/>
    <col min="3379" max="3379" width="36.5703125" style="172" customWidth="1"/>
    <col min="3380" max="3380" width="37" style="172" customWidth="1"/>
    <col min="3381" max="3399" width="36.85546875" style="172" customWidth="1"/>
    <col min="3400" max="3400" width="37" style="172" customWidth="1"/>
    <col min="3401" max="3418" width="36.85546875" style="172" customWidth="1"/>
    <col min="3419" max="3419" width="36.5703125" style="172" customWidth="1"/>
    <col min="3420" max="3432" width="36.85546875" style="172" customWidth="1"/>
    <col min="3433" max="3433" width="36.5703125" style="172" customWidth="1"/>
    <col min="3434" max="3436" width="36.85546875" style="172" customWidth="1"/>
    <col min="3437" max="3437" width="36.5703125" style="172" customWidth="1"/>
    <col min="3438" max="3445" width="36.85546875" style="172" customWidth="1"/>
    <col min="3446" max="3446" width="36.5703125" style="172" customWidth="1"/>
    <col min="3447" max="3584" width="36.85546875" style="172"/>
    <col min="3585" max="3585" width="18.5703125" style="172" customWidth="1"/>
    <col min="3586" max="3594" width="31.42578125" style="172" customWidth="1"/>
    <col min="3595" max="3611" width="36.85546875" style="172" customWidth="1"/>
    <col min="3612" max="3612" width="37" style="172" customWidth="1"/>
    <col min="3613" max="3628" width="36.85546875" style="172" customWidth="1"/>
    <col min="3629" max="3629" width="37.140625" style="172" customWidth="1"/>
    <col min="3630" max="3631" width="36.85546875" style="172" customWidth="1"/>
    <col min="3632" max="3632" width="36.5703125" style="172" customWidth="1"/>
    <col min="3633" max="3634" width="36.85546875" style="172" customWidth="1"/>
    <col min="3635" max="3635" width="36.5703125" style="172" customWidth="1"/>
    <col min="3636" max="3636" width="37" style="172" customWidth="1"/>
    <col min="3637" max="3655" width="36.85546875" style="172" customWidth="1"/>
    <col min="3656" max="3656" width="37" style="172" customWidth="1"/>
    <col min="3657" max="3674" width="36.85546875" style="172" customWidth="1"/>
    <col min="3675" max="3675" width="36.5703125" style="172" customWidth="1"/>
    <col min="3676" max="3688" width="36.85546875" style="172" customWidth="1"/>
    <col min="3689" max="3689" width="36.5703125" style="172" customWidth="1"/>
    <col min="3690" max="3692" width="36.85546875" style="172" customWidth="1"/>
    <col min="3693" max="3693" width="36.5703125" style="172" customWidth="1"/>
    <col min="3694" max="3701" width="36.85546875" style="172" customWidth="1"/>
    <col min="3702" max="3702" width="36.5703125" style="172" customWidth="1"/>
    <col min="3703" max="3840" width="36.85546875" style="172"/>
    <col min="3841" max="3841" width="18.5703125" style="172" customWidth="1"/>
    <col min="3842" max="3850" width="31.42578125" style="172" customWidth="1"/>
    <col min="3851" max="3867" width="36.85546875" style="172" customWidth="1"/>
    <col min="3868" max="3868" width="37" style="172" customWidth="1"/>
    <col min="3869" max="3884" width="36.85546875" style="172" customWidth="1"/>
    <col min="3885" max="3885" width="37.140625" style="172" customWidth="1"/>
    <col min="3886" max="3887" width="36.85546875" style="172" customWidth="1"/>
    <col min="3888" max="3888" width="36.5703125" style="172" customWidth="1"/>
    <col min="3889" max="3890" width="36.85546875" style="172" customWidth="1"/>
    <col min="3891" max="3891" width="36.5703125" style="172" customWidth="1"/>
    <col min="3892" max="3892" width="37" style="172" customWidth="1"/>
    <col min="3893" max="3911" width="36.85546875" style="172" customWidth="1"/>
    <col min="3912" max="3912" width="37" style="172" customWidth="1"/>
    <col min="3913" max="3930" width="36.85546875" style="172" customWidth="1"/>
    <col min="3931" max="3931" width="36.5703125" style="172" customWidth="1"/>
    <col min="3932" max="3944" width="36.85546875" style="172" customWidth="1"/>
    <col min="3945" max="3945" width="36.5703125" style="172" customWidth="1"/>
    <col min="3946" max="3948" width="36.85546875" style="172" customWidth="1"/>
    <col min="3949" max="3949" width="36.5703125" style="172" customWidth="1"/>
    <col min="3950" max="3957" width="36.85546875" style="172" customWidth="1"/>
    <col min="3958" max="3958" width="36.5703125" style="172" customWidth="1"/>
    <col min="3959" max="4096" width="36.85546875" style="172"/>
    <col min="4097" max="4097" width="18.5703125" style="172" customWidth="1"/>
    <col min="4098" max="4106" width="31.42578125" style="172" customWidth="1"/>
    <col min="4107" max="4123" width="36.85546875" style="172" customWidth="1"/>
    <col min="4124" max="4124" width="37" style="172" customWidth="1"/>
    <col min="4125" max="4140" width="36.85546875" style="172" customWidth="1"/>
    <col min="4141" max="4141" width="37.140625" style="172" customWidth="1"/>
    <col min="4142" max="4143" width="36.85546875" style="172" customWidth="1"/>
    <col min="4144" max="4144" width="36.5703125" style="172" customWidth="1"/>
    <col min="4145" max="4146" width="36.85546875" style="172" customWidth="1"/>
    <col min="4147" max="4147" width="36.5703125" style="172" customWidth="1"/>
    <col min="4148" max="4148" width="37" style="172" customWidth="1"/>
    <col min="4149" max="4167" width="36.85546875" style="172" customWidth="1"/>
    <col min="4168" max="4168" width="37" style="172" customWidth="1"/>
    <col min="4169" max="4186" width="36.85546875" style="172" customWidth="1"/>
    <col min="4187" max="4187" width="36.5703125" style="172" customWidth="1"/>
    <col min="4188" max="4200" width="36.85546875" style="172" customWidth="1"/>
    <col min="4201" max="4201" width="36.5703125" style="172" customWidth="1"/>
    <col min="4202" max="4204" width="36.85546875" style="172" customWidth="1"/>
    <col min="4205" max="4205" width="36.5703125" style="172" customWidth="1"/>
    <col min="4206" max="4213" width="36.85546875" style="172" customWidth="1"/>
    <col min="4214" max="4214" width="36.5703125" style="172" customWidth="1"/>
    <col min="4215" max="4352" width="36.85546875" style="172"/>
    <col min="4353" max="4353" width="18.5703125" style="172" customWidth="1"/>
    <col min="4354" max="4362" width="31.42578125" style="172" customWidth="1"/>
    <col min="4363" max="4379" width="36.85546875" style="172" customWidth="1"/>
    <col min="4380" max="4380" width="37" style="172" customWidth="1"/>
    <col min="4381" max="4396" width="36.85546875" style="172" customWidth="1"/>
    <col min="4397" max="4397" width="37.140625" style="172" customWidth="1"/>
    <col min="4398" max="4399" width="36.85546875" style="172" customWidth="1"/>
    <col min="4400" max="4400" width="36.5703125" style="172" customWidth="1"/>
    <col min="4401" max="4402" width="36.85546875" style="172" customWidth="1"/>
    <col min="4403" max="4403" width="36.5703125" style="172" customWidth="1"/>
    <col min="4404" max="4404" width="37" style="172" customWidth="1"/>
    <col min="4405" max="4423" width="36.85546875" style="172" customWidth="1"/>
    <col min="4424" max="4424" width="37" style="172" customWidth="1"/>
    <col min="4425" max="4442" width="36.85546875" style="172" customWidth="1"/>
    <col min="4443" max="4443" width="36.5703125" style="172" customWidth="1"/>
    <col min="4444" max="4456" width="36.85546875" style="172" customWidth="1"/>
    <col min="4457" max="4457" width="36.5703125" style="172" customWidth="1"/>
    <col min="4458" max="4460" width="36.85546875" style="172" customWidth="1"/>
    <col min="4461" max="4461" width="36.5703125" style="172" customWidth="1"/>
    <col min="4462" max="4469" width="36.85546875" style="172" customWidth="1"/>
    <col min="4470" max="4470" width="36.5703125" style="172" customWidth="1"/>
    <col min="4471" max="4608" width="36.85546875" style="172"/>
    <col min="4609" max="4609" width="18.5703125" style="172" customWidth="1"/>
    <col min="4610" max="4618" width="31.42578125" style="172" customWidth="1"/>
    <col min="4619" max="4635" width="36.85546875" style="172" customWidth="1"/>
    <col min="4636" max="4636" width="37" style="172" customWidth="1"/>
    <col min="4637" max="4652" width="36.85546875" style="172" customWidth="1"/>
    <col min="4653" max="4653" width="37.140625" style="172" customWidth="1"/>
    <col min="4654" max="4655" width="36.85546875" style="172" customWidth="1"/>
    <col min="4656" max="4656" width="36.5703125" style="172" customWidth="1"/>
    <col min="4657" max="4658" width="36.85546875" style="172" customWidth="1"/>
    <col min="4659" max="4659" width="36.5703125" style="172" customWidth="1"/>
    <col min="4660" max="4660" width="37" style="172" customWidth="1"/>
    <col min="4661" max="4679" width="36.85546875" style="172" customWidth="1"/>
    <col min="4680" max="4680" width="37" style="172" customWidth="1"/>
    <col min="4681" max="4698" width="36.85546875" style="172" customWidth="1"/>
    <col min="4699" max="4699" width="36.5703125" style="172" customWidth="1"/>
    <col min="4700" max="4712" width="36.85546875" style="172" customWidth="1"/>
    <col min="4713" max="4713" width="36.5703125" style="172" customWidth="1"/>
    <col min="4714" max="4716" width="36.85546875" style="172" customWidth="1"/>
    <col min="4717" max="4717" width="36.5703125" style="172" customWidth="1"/>
    <col min="4718" max="4725" width="36.85546875" style="172" customWidth="1"/>
    <col min="4726" max="4726" width="36.5703125" style="172" customWidth="1"/>
    <col min="4727" max="4864" width="36.85546875" style="172"/>
    <col min="4865" max="4865" width="18.5703125" style="172" customWidth="1"/>
    <col min="4866" max="4874" width="31.42578125" style="172" customWidth="1"/>
    <col min="4875" max="4891" width="36.85546875" style="172" customWidth="1"/>
    <col min="4892" max="4892" width="37" style="172" customWidth="1"/>
    <col min="4893" max="4908" width="36.85546875" style="172" customWidth="1"/>
    <col min="4909" max="4909" width="37.140625" style="172" customWidth="1"/>
    <col min="4910" max="4911" width="36.85546875" style="172" customWidth="1"/>
    <col min="4912" max="4912" width="36.5703125" style="172" customWidth="1"/>
    <col min="4913" max="4914" width="36.85546875" style="172" customWidth="1"/>
    <col min="4915" max="4915" width="36.5703125" style="172" customWidth="1"/>
    <col min="4916" max="4916" width="37" style="172" customWidth="1"/>
    <col min="4917" max="4935" width="36.85546875" style="172" customWidth="1"/>
    <col min="4936" max="4936" width="37" style="172" customWidth="1"/>
    <col min="4937" max="4954" width="36.85546875" style="172" customWidth="1"/>
    <col min="4955" max="4955" width="36.5703125" style="172" customWidth="1"/>
    <col min="4956" max="4968" width="36.85546875" style="172" customWidth="1"/>
    <col min="4969" max="4969" width="36.5703125" style="172" customWidth="1"/>
    <col min="4970" max="4972" width="36.85546875" style="172" customWidth="1"/>
    <col min="4973" max="4973" width="36.5703125" style="172" customWidth="1"/>
    <col min="4974" max="4981" width="36.85546875" style="172" customWidth="1"/>
    <col min="4982" max="4982" width="36.5703125" style="172" customWidth="1"/>
    <col min="4983" max="5120" width="36.85546875" style="172"/>
    <col min="5121" max="5121" width="18.5703125" style="172" customWidth="1"/>
    <col min="5122" max="5130" width="31.42578125" style="172" customWidth="1"/>
    <col min="5131" max="5147" width="36.85546875" style="172" customWidth="1"/>
    <col min="5148" max="5148" width="37" style="172" customWidth="1"/>
    <col min="5149" max="5164" width="36.85546875" style="172" customWidth="1"/>
    <col min="5165" max="5165" width="37.140625" style="172" customWidth="1"/>
    <col min="5166" max="5167" width="36.85546875" style="172" customWidth="1"/>
    <col min="5168" max="5168" width="36.5703125" style="172" customWidth="1"/>
    <col min="5169" max="5170" width="36.85546875" style="172" customWidth="1"/>
    <col min="5171" max="5171" width="36.5703125" style="172" customWidth="1"/>
    <col min="5172" max="5172" width="37" style="172" customWidth="1"/>
    <col min="5173" max="5191" width="36.85546875" style="172" customWidth="1"/>
    <col min="5192" max="5192" width="37" style="172" customWidth="1"/>
    <col min="5193" max="5210" width="36.85546875" style="172" customWidth="1"/>
    <col min="5211" max="5211" width="36.5703125" style="172" customWidth="1"/>
    <col min="5212" max="5224" width="36.85546875" style="172" customWidth="1"/>
    <col min="5225" max="5225" width="36.5703125" style="172" customWidth="1"/>
    <col min="5226" max="5228" width="36.85546875" style="172" customWidth="1"/>
    <col min="5229" max="5229" width="36.5703125" style="172" customWidth="1"/>
    <col min="5230" max="5237" width="36.85546875" style="172" customWidth="1"/>
    <col min="5238" max="5238" width="36.5703125" style="172" customWidth="1"/>
    <col min="5239" max="5376" width="36.85546875" style="172"/>
    <col min="5377" max="5377" width="18.5703125" style="172" customWidth="1"/>
    <col min="5378" max="5386" width="31.42578125" style="172" customWidth="1"/>
    <col min="5387" max="5403" width="36.85546875" style="172" customWidth="1"/>
    <col min="5404" max="5404" width="37" style="172" customWidth="1"/>
    <col min="5405" max="5420" width="36.85546875" style="172" customWidth="1"/>
    <col min="5421" max="5421" width="37.140625" style="172" customWidth="1"/>
    <col min="5422" max="5423" width="36.85546875" style="172" customWidth="1"/>
    <col min="5424" max="5424" width="36.5703125" style="172" customWidth="1"/>
    <col min="5425" max="5426" width="36.85546875" style="172" customWidth="1"/>
    <col min="5427" max="5427" width="36.5703125" style="172" customWidth="1"/>
    <col min="5428" max="5428" width="37" style="172" customWidth="1"/>
    <col min="5429" max="5447" width="36.85546875" style="172" customWidth="1"/>
    <col min="5448" max="5448" width="37" style="172" customWidth="1"/>
    <col min="5449" max="5466" width="36.85546875" style="172" customWidth="1"/>
    <col min="5467" max="5467" width="36.5703125" style="172" customWidth="1"/>
    <col min="5468" max="5480" width="36.85546875" style="172" customWidth="1"/>
    <col min="5481" max="5481" width="36.5703125" style="172" customWidth="1"/>
    <col min="5482" max="5484" width="36.85546875" style="172" customWidth="1"/>
    <col min="5485" max="5485" width="36.5703125" style="172" customWidth="1"/>
    <col min="5486" max="5493" width="36.85546875" style="172" customWidth="1"/>
    <col min="5494" max="5494" width="36.5703125" style="172" customWidth="1"/>
    <col min="5495" max="5632" width="36.85546875" style="172"/>
    <col min="5633" max="5633" width="18.5703125" style="172" customWidth="1"/>
    <col min="5634" max="5642" width="31.42578125" style="172" customWidth="1"/>
    <col min="5643" max="5659" width="36.85546875" style="172" customWidth="1"/>
    <col min="5660" max="5660" width="37" style="172" customWidth="1"/>
    <col min="5661" max="5676" width="36.85546875" style="172" customWidth="1"/>
    <col min="5677" max="5677" width="37.140625" style="172" customWidth="1"/>
    <col min="5678" max="5679" width="36.85546875" style="172" customWidth="1"/>
    <col min="5680" max="5680" width="36.5703125" style="172" customWidth="1"/>
    <col min="5681" max="5682" width="36.85546875" style="172" customWidth="1"/>
    <col min="5683" max="5683" width="36.5703125" style="172" customWidth="1"/>
    <col min="5684" max="5684" width="37" style="172" customWidth="1"/>
    <col min="5685" max="5703" width="36.85546875" style="172" customWidth="1"/>
    <col min="5704" max="5704" width="37" style="172" customWidth="1"/>
    <col min="5705" max="5722" width="36.85546875" style="172" customWidth="1"/>
    <col min="5723" max="5723" width="36.5703125" style="172" customWidth="1"/>
    <col min="5724" max="5736" width="36.85546875" style="172" customWidth="1"/>
    <col min="5737" max="5737" width="36.5703125" style="172" customWidth="1"/>
    <col min="5738" max="5740" width="36.85546875" style="172" customWidth="1"/>
    <col min="5741" max="5741" width="36.5703125" style="172" customWidth="1"/>
    <col min="5742" max="5749" width="36.85546875" style="172" customWidth="1"/>
    <col min="5750" max="5750" width="36.5703125" style="172" customWidth="1"/>
    <col min="5751" max="5888" width="36.85546875" style="172"/>
    <col min="5889" max="5889" width="18.5703125" style="172" customWidth="1"/>
    <col min="5890" max="5898" width="31.42578125" style="172" customWidth="1"/>
    <col min="5899" max="5915" width="36.85546875" style="172" customWidth="1"/>
    <col min="5916" max="5916" width="37" style="172" customWidth="1"/>
    <col min="5917" max="5932" width="36.85546875" style="172" customWidth="1"/>
    <col min="5933" max="5933" width="37.140625" style="172" customWidth="1"/>
    <col min="5934" max="5935" width="36.85546875" style="172" customWidth="1"/>
    <col min="5936" max="5936" width="36.5703125" style="172" customWidth="1"/>
    <col min="5937" max="5938" width="36.85546875" style="172" customWidth="1"/>
    <col min="5939" max="5939" width="36.5703125" style="172" customWidth="1"/>
    <col min="5940" max="5940" width="37" style="172" customWidth="1"/>
    <col min="5941" max="5959" width="36.85546875" style="172" customWidth="1"/>
    <col min="5960" max="5960" width="37" style="172" customWidth="1"/>
    <col min="5961" max="5978" width="36.85546875" style="172" customWidth="1"/>
    <col min="5979" max="5979" width="36.5703125" style="172" customWidth="1"/>
    <col min="5980" max="5992" width="36.85546875" style="172" customWidth="1"/>
    <col min="5993" max="5993" width="36.5703125" style="172" customWidth="1"/>
    <col min="5994" max="5996" width="36.85546875" style="172" customWidth="1"/>
    <col min="5997" max="5997" width="36.5703125" style="172" customWidth="1"/>
    <col min="5998" max="6005" width="36.85546875" style="172" customWidth="1"/>
    <col min="6006" max="6006" width="36.5703125" style="172" customWidth="1"/>
    <col min="6007" max="6144" width="36.85546875" style="172"/>
    <col min="6145" max="6145" width="18.5703125" style="172" customWidth="1"/>
    <col min="6146" max="6154" width="31.42578125" style="172" customWidth="1"/>
    <col min="6155" max="6171" width="36.85546875" style="172" customWidth="1"/>
    <col min="6172" max="6172" width="37" style="172" customWidth="1"/>
    <col min="6173" max="6188" width="36.85546875" style="172" customWidth="1"/>
    <col min="6189" max="6189" width="37.140625" style="172" customWidth="1"/>
    <col min="6190" max="6191" width="36.85546875" style="172" customWidth="1"/>
    <col min="6192" max="6192" width="36.5703125" style="172" customWidth="1"/>
    <col min="6193" max="6194" width="36.85546875" style="172" customWidth="1"/>
    <col min="6195" max="6195" width="36.5703125" style="172" customWidth="1"/>
    <col min="6196" max="6196" width="37" style="172" customWidth="1"/>
    <col min="6197" max="6215" width="36.85546875" style="172" customWidth="1"/>
    <col min="6216" max="6216" width="37" style="172" customWidth="1"/>
    <col min="6217" max="6234" width="36.85546875" style="172" customWidth="1"/>
    <col min="6235" max="6235" width="36.5703125" style="172" customWidth="1"/>
    <col min="6236" max="6248" width="36.85546875" style="172" customWidth="1"/>
    <col min="6249" max="6249" width="36.5703125" style="172" customWidth="1"/>
    <col min="6250" max="6252" width="36.85546875" style="172" customWidth="1"/>
    <col min="6253" max="6253" width="36.5703125" style="172" customWidth="1"/>
    <col min="6254" max="6261" width="36.85546875" style="172" customWidth="1"/>
    <col min="6262" max="6262" width="36.5703125" style="172" customWidth="1"/>
    <col min="6263" max="6400" width="36.85546875" style="172"/>
    <col min="6401" max="6401" width="18.5703125" style="172" customWidth="1"/>
    <col min="6402" max="6410" width="31.42578125" style="172" customWidth="1"/>
    <col min="6411" max="6427" width="36.85546875" style="172" customWidth="1"/>
    <col min="6428" max="6428" width="37" style="172" customWidth="1"/>
    <col min="6429" max="6444" width="36.85546875" style="172" customWidth="1"/>
    <col min="6445" max="6445" width="37.140625" style="172" customWidth="1"/>
    <col min="6446" max="6447" width="36.85546875" style="172" customWidth="1"/>
    <col min="6448" max="6448" width="36.5703125" style="172" customWidth="1"/>
    <col min="6449" max="6450" width="36.85546875" style="172" customWidth="1"/>
    <col min="6451" max="6451" width="36.5703125" style="172" customWidth="1"/>
    <col min="6452" max="6452" width="37" style="172" customWidth="1"/>
    <col min="6453" max="6471" width="36.85546875" style="172" customWidth="1"/>
    <col min="6472" max="6472" width="37" style="172" customWidth="1"/>
    <col min="6473" max="6490" width="36.85546875" style="172" customWidth="1"/>
    <col min="6491" max="6491" width="36.5703125" style="172" customWidth="1"/>
    <col min="6492" max="6504" width="36.85546875" style="172" customWidth="1"/>
    <col min="6505" max="6505" width="36.5703125" style="172" customWidth="1"/>
    <col min="6506" max="6508" width="36.85546875" style="172" customWidth="1"/>
    <col min="6509" max="6509" width="36.5703125" style="172" customWidth="1"/>
    <col min="6510" max="6517" width="36.85546875" style="172" customWidth="1"/>
    <col min="6518" max="6518" width="36.5703125" style="172" customWidth="1"/>
    <col min="6519" max="6656" width="36.85546875" style="172"/>
    <col min="6657" max="6657" width="18.5703125" style="172" customWidth="1"/>
    <col min="6658" max="6666" width="31.42578125" style="172" customWidth="1"/>
    <col min="6667" max="6683" width="36.85546875" style="172" customWidth="1"/>
    <col min="6684" max="6684" width="37" style="172" customWidth="1"/>
    <col min="6685" max="6700" width="36.85546875" style="172" customWidth="1"/>
    <col min="6701" max="6701" width="37.140625" style="172" customWidth="1"/>
    <col min="6702" max="6703" width="36.85546875" style="172" customWidth="1"/>
    <col min="6704" max="6704" width="36.5703125" style="172" customWidth="1"/>
    <col min="6705" max="6706" width="36.85546875" style="172" customWidth="1"/>
    <col min="6707" max="6707" width="36.5703125" style="172" customWidth="1"/>
    <col min="6708" max="6708" width="37" style="172" customWidth="1"/>
    <col min="6709" max="6727" width="36.85546875" style="172" customWidth="1"/>
    <col min="6728" max="6728" width="37" style="172" customWidth="1"/>
    <col min="6729" max="6746" width="36.85546875" style="172" customWidth="1"/>
    <col min="6747" max="6747" width="36.5703125" style="172" customWidth="1"/>
    <col min="6748" max="6760" width="36.85546875" style="172" customWidth="1"/>
    <col min="6761" max="6761" width="36.5703125" style="172" customWidth="1"/>
    <col min="6762" max="6764" width="36.85546875" style="172" customWidth="1"/>
    <col min="6765" max="6765" width="36.5703125" style="172" customWidth="1"/>
    <col min="6766" max="6773" width="36.85546875" style="172" customWidth="1"/>
    <col min="6774" max="6774" width="36.5703125" style="172" customWidth="1"/>
    <col min="6775" max="6912" width="36.85546875" style="172"/>
    <col min="6913" max="6913" width="18.5703125" style="172" customWidth="1"/>
    <col min="6914" max="6922" width="31.42578125" style="172" customWidth="1"/>
    <col min="6923" max="6939" width="36.85546875" style="172" customWidth="1"/>
    <col min="6940" max="6940" width="37" style="172" customWidth="1"/>
    <col min="6941" max="6956" width="36.85546875" style="172" customWidth="1"/>
    <col min="6957" max="6957" width="37.140625" style="172" customWidth="1"/>
    <col min="6958" max="6959" width="36.85546875" style="172" customWidth="1"/>
    <col min="6960" max="6960" width="36.5703125" style="172" customWidth="1"/>
    <col min="6961" max="6962" width="36.85546875" style="172" customWidth="1"/>
    <col min="6963" max="6963" width="36.5703125" style="172" customWidth="1"/>
    <col min="6964" max="6964" width="37" style="172" customWidth="1"/>
    <col min="6965" max="6983" width="36.85546875" style="172" customWidth="1"/>
    <col min="6984" max="6984" width="37" style="172" customWidth="1"/>
    <col min="6985" max="7002" width="36.85546875" style="172" customWidth="1"/>
    <col min="7003" max="7003" width="36.5703125" style="172" customWidth="1"/>
    <col min="7004" max="7016" width="36.85546875" style="172" customWidth="1"/>
    <col min="7017" max="7017" width="36.5703125" style="172" customWidth="1"/>
    <col min="7018" max="7020" width="36.85546875" style="172" customWidth="1"/>
    <col min="7021" max="7021" width="36.5703125" style="172" customWidth="1"/>
    <col min="7022" max="7029" width="36.85546875" style="172" customWidth="1"/>
    <col min="7030" max="7030" width="36.5703125" style="172" customWidth="1"/>
    <col min="7031" max="7168" width="36.85546875" style="172"/>
    <col min="7169" max="7169" width="18.5703125" style="172" customWidth="1"/>
    <col min="7170" max="7178" width="31.42578125" style="172" customWidth="1"/>
    <col min="7179" max="7195" width="36.85546875" style="172" customWidth="1"/>
    <col min="7196" max="7196" width="37" style="172" customWidth="1"/>
    <col min="7197" max="7212" width="36.85546875" style="172" customWidth="1"/>
    <col min="7213" max="7213" width="37.140625" style="172" customWidth="1"/>
    <col min="7214" max="7215" width="36.85546875" style="172" customWidth="1"/>
    <col min="7216" max="7216" width="36.5703125" style="172" customWidth="1"/>
    <col min="7217" max="7218" width="36.85546875" style="172" customWidth="1"/>
    <col min="7219" max="7219" width="36.5703125" style="172" customWidth="1"/>
    <col min="7220" max="7220" width="37" style="172" customWidth="1"/>
    <col min="7221" max="7239" width="36.85546875" style="172" customWidth="1"/>
    <col min="7240" max="7240" width="37" style="172" customWidth="1"/>
    <col min="7241" max="7258" width="36.85546875" style="172" customWidth="1"/>
    <col min="7259" max="7259" width="36.5703125" style="172" customWidth="1"/>
    <col min="7260" max="7272" width="36.85546875" style="172" customWidth="1"/>
    <col min="7273" max="7273" width="36.5703125" style="172" customWidth="1"/>
    <col min="7274" max="7276" width="36.85546875" style="172" customWidth="1"/>
    <col min="7277" max="7277" width="36.5703125" style="172" customWidth="1"/>
    <col min="7278" max="7285" width="36.85546875" style="172" customWidth="1"/>
    <col min="7286" max="7286" width="36.5703125" style="172" customWidth="1"/>
    <col min="7287" max="7424" width="36.85546875" style="172"/>
    <col min="7425" max="7425" width="18.5703125" style="172" customWidth="1"/>
    <col min="7426" max="7434" width="31.42578125" style="172" customWidth="1"/>
    <col min="7435" max="7451" width="36.85546875" style="172" customWidth="1"/>
    <col min="7452" max="7452" width="37" style="172" customWidth="1"/>
    <col min="7453" max="7468" width="36.85546875" style="172" customWidth="1"/>
    <col min="7469" max="7469" width="37.140625" style="172" customWidth="1"/>
    <col min="7470" max="7471" width="36.85546875" style="172" customWidth="1"/>
    <col min="7472" max="7472" width="36.5703125" style="172" customWidth="1"/>
    <col min="7473" max="7474" width="36.85546875" style="172" customWidth="1"/>
    <col min="7475" max="7475" width="36.5703125" style="172" customWidth="1"/>
    <col min="7476" max="7476" width="37" style="172" customWidth="1"/>
    <col min="7477" max="7495" width="36.85546875" style="172" customWidth="1"/>
    <col min="7496" max="7496" width="37" style="172" customWidth="1"/>
    <col min="7497" max="7514" width="36.85546875" style="172" customWidth="1"/>
    <col min="7515" max="7515" width="36.5703125" style="172" customWidth="1"/>
    <col min="7516" max="7528" width="36.85546875" style="172" customWidth="1"/>
    <col min="7529" max="7529" width="36.5703125" style="172" customWidth="1"/>
    <col min="7530" max="7532" width="36.85546875" style="172" customWidth="1"/>
    <col min="7533" max="7533" width="36.5703125" style="172" customWidth="1"/>
    <col min="7534" max="7541" width="36.85546875" style="172" customWidth="1"/>
    <col min="7542" max="7542" width="36.5703125" style="172" customWidth="1"/>
    <col min="7543" max="7680" width="36.85546875" style="172"/>
    <col min="7681" max="7681" width="18.5703125" style="172" customWidth="1"/>
    <col min="7682" max="7690" width="31.42578125" style="172" customWidth="1"/>
    <col min="7691" max="7707" width="36.85546875" style="172" customWidth="1"/>
    <col min="7708" max="7708" width="37" style="172" customWidth="1"/>
    <col min="7709" max="7724" width="36.85546875" style="172" customWidth="1"/>
    <col min="7725" max="7725" width="37.140625" style="172" customWidth="1"/>
    <col min="7726" max="7727" width="36.85546875" style="172" customWidth="1"/>
    <col min="7728" max="7728" width="36.5703125" style="172" customWidth="1"/>
    <col min="7729" max="7730" width="36.85546875" style="172" customWidth="1"/>
    <col min="7731" max="7731" width="36.5703125" style="172" customWidth="1"/>
    <col min="7732" max="7732" width="37" style="172" customWidth="1"/>
    <col min="7733" max="7751" width="36.85546875" style="172" customWidth="1"/>
    <col min="7752" max="7752" width="37" style="172" customWidth="1"/>
    <col min="7753" max="7770" width="36.85546875" style="172" customWidth="1"/>
    <col min="7771" max="7771" width="36.5703125" style="172" customWidth="1"/>
    <col min="7772" max="7784" width="36.85546875" style="172" customWidth="1"/>
    <col min="7785" max="7785" width="36.5703125" style="172" customWidth="1"/>
    <col min="7786" max="7788" width="36.85546875" style="172" customWidth="1"/>
    <col min="7789" max="7789" width="36.5703125" style="172" customWidth="1"/>
    <col min="7790" max="7797" width="36.85546875" style="172" customWidth="1"/>
    <col min="7798" max="7798" width="36.5703125" style="172" customWidth="1"/>
    <col min="7799" max="7936" width="36.85546875" style="172"/>
    <col min="7937" max="7937" width="18.5703125" style="172" customWidth="1"/>
    <col min="7938" max="7946" width="31.42578125" style="172" customWidth="1"/>
    <col min="7947" max="7963" width="36.85546875" style="172" customWidth="1"/>
    <col min="7964" max="7964" width="37" style="172" customWidth="1"/>
    <col min="7965" max="7980" width="36.85546875" style="172" customWidth="1"/>
    <col min="7981" max="7981" width="37.140625" style="172" customWidth="1"/>
    <col min="7982" max="7983" width="36.85546875" style="172" customWidth="1"/>
    <col min="7984" max="7984" width="36.5703125" style="172" customWidth="1"/>
    <col min="7985" max="7986" width="36.85546875" style="172" customWidth="1"/>
    <col min="7987" max="7987" width="36.5703125" style="172" customWidth="1"/>
    <col min="7988" max="7988" width="37" style="172" customWidth="1"/>
    <col min="7989" max="8007" width="36.85546875" style="172" customWidth="1"/>
    <col min="8008" max="8008" width="37" style="172" customWidth="1"/>
    <col min="8009" max="8026" width="36.85546875" style="172" customWidth="1"/>
    <col min="8027" max="8027" width="36.5703125" style="172" customWidth="1"/>
    <col min="8028" max="8040" width="36.85546875" style="172" customWidth="1"/>
    <col min="8041" max="8041" width="36.5703125" style="172" customWidth="1"/>
    <col min="8042" max="8044" width="36.85546875" style="172" customWidth="1"/>
    <col min="8045" max="8045" width="36.5703125" style="172" customWidth="1"/>
    <col min="8046" max="8053" width="36.85546875" style="172" customWidth="1"/>
    <col min="8054" max="8054" width="36.5703125" style="172" customWidth="1"/>
    <col min="8055" max="8192" width="36.85546875" style="172"/>
    <col min="8193" max="8193" width="18.5703125" style="172" customWidth="1"/>
    <col min="8194" max="8202" width="31.42578125" style="172" customWidth="1"/>
    <col min="8203" max="8219" width="36.85546875" style="172" customWidth="1"/>
    <col min="8220" max="8220" width="37" style="172" customWidth="1"/>
    <col min="8221" max="8236" width="36.85546875" style="172" customWidth="1"/>
    <col min="8237" max="8237" width="37.140625" style="172" customWidth="1"/>
    <col min="8238" max="8239" width="36.85546875" style="172" customWidth="1"/>
    <col min="8240" max="8240" width="36.5703125" style="172" customWidth="1"/>
    <col min="8241" max="8242" width="36.85546875" style="172" customWidth="1"/>
    <col min="8243" max="8243" width="36.5703125" style="172" customWidth="1"/>
    <col min="8244" max="8244" width="37" style="172" customWidth="1"/>
    <col min="8245" max="8263" width="36.85546875" style="172" customWidth="1"/>
    <col min="8264" max="8264" width="37" style="172" customWidth="1"/>
    <col min="8265" max="8282" width="36.85546875" style="172" customWidth="1"/>
    <col min="8283" max="8283" width="36.5703125" style="172" customWidth="1"/>
    <col min="8284" max="8296" width="36.85546875" style="172" customWidth="1"/>
    <col min="8297" max="8297" width="36.5703125" style="172" customWidth="1"/>
    <col min="8298" max="8300" width="36.85546875" style="172" customWidth="1"/>
    <col min="8301" max="8301" width="36.5703125" style="172" customWidth="1"/>
    <col min="8302" max="8309" width="36.85546875" style="172" customWidth="1"/>
    <col min="8310" max="8310" width="36.5703125" style="172" customWidth="1"/>
    <col min="8311" max="8448" width="36.85546875" style="172"/>
    <col min="8449" max="8449" width="18.5703125" style="172" customWidth="1"/>
    <col min="8450" max="8458" width="31.42578125" style="172" customWidth="1"/>
    <col min="8459" max="8475" width="36.85546875" style="172" customWidth="1"/>
    <col min="8476" max="8476" width="37" style="172" customWidth="1"/>
    <col min="8477" max="8492" width="36.85546875" style="172" customWidth="1"/>
    <col min="8493" max="8493" width="37.140625" style="172" customWidth="1"/>
    <col min="8494" max="8495" width="36.85546875" style="172" customWidth="1"/>
    <col min="8496" max="8496" width="36.5703125" style="172" customWidth="1"/>
    <col min="8497" max="8498" width="36.85546875" style="172" customWidth="1"/>
    <col min="8499" max="8499" width="36.5703125" style="172" customWidth="1"/>
    <col min="8500" max="8500" width="37" style="172" customWidth="1"/>
    <col min="8501" max="8519" width="36.85546875" style="172" customWidth="1"/>
    <col min="8520" max="8520" width="37" style="172" customWidth="1"/>
    <col min="8521" max="8538" width="36.85546875" style="172" customWidth="1"/>
    <col min="8539" max="8539" width="36.5703125" style="172" customWidth="1"/>
    <col min="8540" max="8552" width="36.85546875" style="172" customWidth="1"/>
    <col min="8553" max="8553" width="36.5703125" style="172" customWidth="1"/>
    <col min="8554" max="8556" width="36.85546875" style="172" customWidth="1"/>
    <col min="8557" max="8557" width="36.5703125" style="172" customWidth="1"/>
    <col min="8558" max="8565" width="36.85546875" style="172" customWidth="1"/>
    <col min="8566" max="8566" width="36.5703125" style="172" customWidth="1"/>
    <col min="8567" max="8704" width="36.85546875" style="172"/>
    <col min="8705" max="8705" width="18.5703125" style="172" customWidth="1"/>
    <col min="8706" max="8714" width="31.42578125" style="172" customWidth="1"/>
    <col min="8715" max="8731" width="36.85546875" style="172" customWidth="1"/>
    <col min="8732" max="8732" width="37" style="172" customWidth="1"/>
    <col min="8733" max="8748" width="36.85546875" style="172" customWidth="1"/>
    <col min="8749" max="8749" width="37.140625" style="172" customWidth="1"/>
    <col min="8750" max="8751" width="36.85546875" style="172" customWidth="1"/>
    <col min="8752" max="8752" width="36.5703125" style="172" customWidth="1"/>
    <col min="8753" max="8754" width="36.85546875" style="172" customWidth="1"/>
    <col min="8755" max="8755" width="36.5703125" style="172" customWidth="1"/>
    <col min="8756" max="8756" width="37" style="172" customWidth="1"/>
    <col min="8757" max="8775" width="36.85546875" style="172" customWidth="1"/>
    <col min="8776" max="8776" width="37" style="172" customWidth="1"/>
    <col min="8777" max="8794" width="36.85546875" style="172" customWidth="1"/>
    <col min="8795" max="8795" width="36.5703125" style="172" customWidth="1"/>
    <col min="8796" max="8808" width="36.85546875" style="172" customWidth="1"/>
    <col min="8809" max="8809" width="36.5703125" style="172" customWidth="1"/>
    <col min="8810" max="8812" width="36.85546875" style="172" customWidth="1"/>
    <col min="8813" max="8813" width="36.5703125" style="172" customWidth="1"/>
    <col min="8814" max="8821" width="36.85546875" style="172" customWidth="1"/>
    <col min="8822" max="8822" width="36.5703125" style="172" customWidth="1"/>
    <col min="8823" max="8960" width="36.85546875" style="172"/>
    <col min="8961" max="8961" width="18.5703125" style="172" customWidth="1"/>
    <col min="8962" max="8970" width="31.42578125" style="172" customWidth="1"/>
    <col min="8971" max="8987" width="36.85546875" style="172" customWidth="1"/>
    <col min="8988" max="8988" width="37" style="172" customWidth="1"/>
    <col min="8989" max="9004" width="36.85546875" style="172" customWidth="1"/>
    <col min="9005" max="9005" width="37.140625" style="172" customWidth="1"/>
    <col min="9006" max="9007" width="36.85546875" style="172" customWidth="1"/>
    <col min="9008" max="9008" width="36.5703125" style="172" customWidth="1"/>
    <col min="9009" max="9010" width="36.85546875" style="172" customWidth="1"/>
    <col min="9011" max="9011" width="36.5703125" style="172" customWidth="1"/>
    <col min="9012" max="9012" width="37" style="172" customWidth="1"/>
    <col min="9013" max="9031" width="36.85546875" style="172" customWidth="1"/>
    <col min="9032" max="9032" width="37" style="172" customWidth="1"/>
    <col min="9033" max="9050" width="36.85546875" style="172" customWidth="1"/>
    <col min="9051" max="9051" width="36.5703125" style="172" customWidth="1"/>
    <col min="9052" max="9064" width="36.85546875" style="172" customWidth="1"/>
    <col min="9065" max="9065" width="36.5703125" style="172" customWidth="1"/>
    <col min="9066" max="9068" width="36.85546875" style="172" customWidth="1"/>
    <col min="9069" max="9069" width="36.5703125" style="172" customWidth="1"/>
    <col min="9070" max="9077" width="36.85546875" style="172" customWidth="1"/>
    <col min="9078" max="9078" width="36.5703125" style="172" customWidth="1"/>
    <col min="9079" max="9216" width="36.85546875" style="172"/>
    <col min="9217" max="9217" width="18.5703125" style="172" customWidth="1"/>
    <col min="9218" max="9226" width="31.42578125" style="172" customWidth="1"/>
    <col min="9227" max="9243" width="36.85546875" style="172" customWidth="1"/>
    <col min="9244" max="9244" width="37" style="172" customWidth="1"/>
    <col min="9245" max="9260" width="36.85546875" style="172" customWidth="1"/>
    <col min="9261" max="9261" width="37.140625" style="172" customWidth="1"/>
    <col min="9262" max="9263" width="36.85546875" style="172" customWidth="1"/>
    <col min="9264" max="9264" width="36.5703125" style="172" customWidth="1"/>
    <col min="9265" max="9266" width="36.85546875" style="172" customWidth="1"/>
    <col min="9267" max="9267" width="36.5703125" style="172" customWidth="1"/>
    <col min="9268" max="9268" width="37" style="172" customWidth="1"/>
    <col min="9269" max="9287" width="36.85546875" style="172" customWidth="1"/>
    <col min="9288" max="9288" width="37" style="172" customWidth="1"/>
    <col min="9289" max="9306" width="36.85546875" style="172" customWidth="1"/>
    <col min="9307" max="9307" width="36.5703125" style="172" customWidth="1"/>
    <col min="9308" max="9320" width="36.85546875" style="172" customWidth="1"/>
    <col min="9321" max="9321" width="36.5703125" style="172" customWidth="1"/>
    <col min="9322" max="9324" width="36.85546875" style="172" customWidth="1"/>
    <col min="9325" max="9325" width="36.5703125" style="172" customWidth="1"/>
    <col min="9326" max="9333" width="36.85546875" style="172" customWidth="1"/>
    <col min="9334" max="9334" width="36.5703125" style="172" customWidth="1"/>
    <col min="9335" max="9472" width="36.85546875" style="172"/>
    <col min="9473" max="9473" width="18.5703125" style="172" customWidth="1"/>
    <col min="9474" max="9482" width="31.42578125" style="172" customWidth="1"/>
    <col min="9483" max="9499" width="36.85546875" style="172" customWidth="1"/>
    <col min="9500" max="9500" width="37" style="172" customWidth="1"/>
    <col min="9501" max="9516" width="36.85546875" style="172" customWidth="1"/>
    <col min="9517" max="9517" width="37.140625" style="172" customWidth="1"/>
    <col min="9518" max="9519" width="36.85546875" style="172" customWidth="1"/>
    <col min="9520" max="9520" width="36.5703125" style="172" customWidth="1"/>
    <col min="9521" max="9522" width="36.85546875" style="172" customWidth="1"/>
    <col min="9523" max="9523" width="36.5703125" style="172" customWidth="1"/>
    <col min="9524" max="9524" width="37" style="172" customWidth="1"/>
    <col min="9525" max="9543" width="36.85546875" style="172" customWidth="1"/>
    <col min="9544" max="9544" width="37" style="172" customWidth="1"/>
    <col min="9545" max="9562" width="36.85546875" style="172" customWidth="1"/>
    <col min="9563" max="9563" width="36.5703125" style="172" customWidth="1"/>
    <col min="9564" max="9576" width="36.85546875" style="172" customWidth="1"/>
    <col min="9577" max="9577" width="36.5703125" style="172" customWidth="1"/>
    <col min="9578" max="9580" width="36.85546875" style="172" customWidth="1"/>
    <col min="9581" max="9581" width="36.5703125" style="172" customWidth="1"/>
    <col min="9582" max="9589" width="36.85546875" style="172" customWidth="1"/>
    <col min="9590" max="9590" width="36.5703125" style="172" customWidth="1"/>
    <col min="9591" max="9728" width="36.85546875" style="172"/>
    <col min="9729" max="9729" width="18.5703125" style="172" customWidth="1"/>
    <col min="9730" max="9738" width="31.42578125" style="172" customWidth="1"/>
    <col min="9739" max="9755" width="36.85546875" style="172" customWidth="1"/>
    <col min="9756" max="9756" width="37" style="172" customWidth="1"/>
    <col min="9757" max="9772" width="36.85546875" style="172" customWidth="1"/>
    <col min="9773" max="9773" width="37.140625" style="172" customWidth="1"/>
    <col min="9774" max="9775" width="36.85546875" style="172" customWidth="1"/>
    <col min="9776" max="9776" width="36.5703125" style="172" customWidth="1"/>
    <col min="9777" max="9778" width="36.85546875" style="172" customWidth="1"/>
    <col min="9779" max="9779" width="36.5703125" style="172" customWidth="1"/>
    <col min="9780" max="9780" width="37" style="172" customWidth="1"/>
    <col min="9781" max="9799" width="36.85546875" style="172" customWidth="1"/>
    <col min="9800" max="9800" width="37" style="172" customWidth="1"/>
    <col min="9801" max="9818" width="36.85546875" style="172" customWidth="1"/>
    <col min="9819" max="9819" width="36.5703125" style="172" customWidth="1"/>
    <col min="9820" max="9832" width="36.85546875" style="172" customWidth="1"/>
    <col min="9833" max="9833" width="36.5703125" style="172" customWidth="1"/>
    <col min="9834" max="9836" width="36.85546875" style="172" customWidth="1"/>
    <col min="9837" max="9837" width="36.5703125" style="172" customWidth="1"/>
    <col min="9838" max="9845" width="36.85546875" style="172" customWidth="1"/>
    <col min="9846" max="9846" width="36.5703125" style="172" customWidth="1"/>
    <col min="9847" max="9984" width="36.85546875" style="172"/>
    <col min="9985" max="9985" width="18.5703125" style="172" customWidth="1"/>
    <col min="9986" max="9994" width="31.42578125" style="172" customWidth="1"/>
    <col min="9995" max="10011" width="36.85546875" style="172" customWidth="1"/>
    <col min="10012" max="10012" width="37" style="172" customWidth="1"/>
    <col min="10013" max="10028" width="36.85546875" style="172" customWidth="1"/>
    <col min="10029" max="10029" width="37.140625" style="172" customWidth="1"/>
    <col min="10030" max="10031" width="36.85546875" style="172" customWidth="1"/>
    <col min="10032" max="10032" width="36.5703125" style="172" customWidth="1"/>
    <col min="10033" max="10034" width="36.85546875" style="172" customWidth="1"/>
    <col min="10035" max="10035" width="36.5703125" style="172" customWidth="1"/>
    <col min="10036" max="10036" width="37" style="172" customWidth="1"/>
    <col min="10037" max="10055" width="36.85546875" style="172" customWidth="1"/>
    <col min="10056" max="10056" width="37" style="172" customWidth="1"/>
    <col min="10057" max="10074" width="36.85546875" style="172" customWidth="1"/>
    <col min="10075" max="10075" width="36.5703125" style="172" customWidth="1"/>
    <col min="10076" max="10088" width="36.85546875" style="172" customWidth="1"/>
    <col min="10089" max="10089" width="36.5703125" style="172" customWidth="1"/>
    <col min="10090" max="10092" width="36.85546875" style="172" customWidth="1"/>
    <col min="10093" max="10093" width="36.5703125" style="172" customWidth="1"/>
    <col min="10094" max="10101" width="36.85546875" style="172" customWidth="1"/>
    <col min="10102" max="10102" width="36.5703125" style="172" customWidth="1"/>
    <col min="10103" max="10240" width="36.85546875" style="172"/>
    <col min="10241" max="10241" width="18.5703125" style="172" customWidth="1"/>
    <col min="10242" max="10250" width="31.42578125" style="172" customWidth="1"/>
    <col min="10251" max="10267" width="36.85546875" style="172" customWidth="1"/>
    <col min="10268" max="10268" width="37" style="172" customWidth="1"/>
    <col min="10269" max="10284" width="36.85546875" style="172" customWidth="1"/>
    <col min="10285" max="10285" width="37.140625" style="172" customWidth="1"/>
    <col min="10286" max="10287" width="36.85546875" style="172" customWidth="1"/>
    <col min="10288" max="10288" width="36.5703125" style="172" customWidth="1"/>
    <col min="10289" max="10290" width="36.85546875" style="172" customWidth="1"/>
    <col min="10291" max="10291" width="36.5703125" style="172" customWidth="1"/>
    <col min="10292" max="10292" width="37" style="172" customWidth="1"/>
    <col min="10293" max="10311" width="36.85546875" style="172" customWidth="1"/>
    <col min="10312" max="10312" width="37" style="172" customWidth="1"/>
    <col min="10313" max="10330" width="36.85546875" style="172" customWidth="1"/>
    <col min="10331" max="10331" width="36.5703125" style="172" customWidth="1"/>
    <col min="10332" max="10344" width="36.85546875" style="172" customWidth="1"/>
    <col min="10345" max="10345" width="36.5703125" style="172" customWidth="1"/>
    <col min="10346" max="10348" width="36.85546875" style="172" customWidth="1"/>
    <col min="10349" max="10349" width="36.5703125" style="172" customWidth="1"/>
    <col min="10350" max="10357" width="36.85546875" style="172" customWidth="1"/>
    <col min="10358" max="10358" width="36.5703125" style="172" customWidth="1"/>
    <col min="10359" max="10496" width="36.85546875" style="172"/>
    <col min="10497" max="10497" width="18.5703125" style="172" customWidth="1"/>
    <col min="10498" max="10506" width="31.42578125" style="172" customWidth="1"/>
    <col min="10507" max="10523" width="36.85546875" style="172" customWidth="1"/>
    <col min="10524" max="10524" width="37" style="172" customWidth="1"/>
    <col min="10525" max="10540" width="36.85546875" style="172" customWidth="1"/>
    <col min="10541" max="10541" width="37.140625" style="172" customWidth="1"/>
    <col min="10542" max="10543" width="36.85546875" style="172" customWidth="1"/>
    <col min="10544" max="10544" width="36.5703125" style="172" customWidth="1"/>
    <col min="10545" max="10546" width="36.85546875" style="172" customWidth="1"/>
    <col min="10547" max="10547" width="36.5703125" style="172" customWidth="1"/>
    <col min="10548" max="10548" width="37" style="172" customWidth="1"/>
    <col min="10549" max="10567" width="36.85546875" style="172" customWidth="1"/>
    <col min="10568" max="10568" width="37" style="172" customWidth="1"/>
    <col min="10569" max="10586" width="36.85546875" style="172" customWidth="1"/>
    <col min="10587" max="10587" width="36.5703125" style="172" customWidth="1"/>
    <col min="10588" max="10600" width="36.85546875" style="172" customWidth="1"/>
    <col min="10601" max="10601" width="36.5703125" style="172" customWidth="1"/>
    <col min="10602" max="10604" width="36.85546875" style="172" customWidth="1"/>
    <col min="10605" max="10605" width="36.5703125" style="172" customWidth="1"/>
    <col min="10606" max="10613" width="36.85546875" style="172" customWidth="1"/>
    <col min="10614" max="10614" width="36.5703125" style="172" customWidth="1"/>
    <col min="10615" max="10752" width="36.85546875" style="172"/>
    <col min="10753" max="10753" width="18.5703125" style="172" customWidth="1"/>
    <col min="10754" max="10762" width="31.42578125" style="172" customWidth="1"/>
    <col min="10763" max="10779" width="36.85546875" style="172" customWidth="1"/>
    <col min="10780" max="10780" width="37" style="172" customWidth="1"/>
    <col min="10781" max="10796" width="36.85546875" style="172" customWidth="1"/>
    <col min="10797" max="10797" width="37.140625" style="172" customWidth="1"/>
    <col min="10798" max="10799" width="36.85546875" style="172" customWidth="1"/>
    <col min="10800" max="10800" width="36.5703125" style="172" customWidth="1"/>
    <col min="10801" max="10802" width="36.85546875" style="172" customWidth="1"/>
    <col min="10803" max="10803" width="36.5703125" style="172" customWidth="1"/>
    <col min="10804" max="10804" width="37" style="172" customWidth="1"/>
    <col min="10805" max="10823" width="36.85546875" style="172" customWidth="1"/>
    <col min="10824" max="10824" width="37" style="172" customWidth="1"/>
    <col min="10825" max="10842" width="36.85546875" style="172" customWidth="1"/>
    <col min="10843" max="10843" width="36.5703125" style="172" customWidth="1"/>
    <col min="10844" max="10856" width="36.85546875" style="172" customWidth="1"/>
    <col min="10857" max="10857" width="36.5703125" style="172" customWidth="1"/>
    <col min="10858" max="10860" width="36.85546875" style="172" customWidth="1"/>
    <col min="10861" max="10861" width="36.5703125" style="172" customWidth="1"/>
    <col min="10862" max="10869" width="36.85546875" style="172" customWidth="1"/>
    <col min="10870" max="10870" width="36.5703125" style="172" customWidth="1"/>
    <col min="10871" max="11008" width="36.85546875" style="172"/>
    <col min="11009" max="11009" width="18.5703125" style="172" customWidth="1"/>
    <col min="11010" max="11018" width="31.42578125" style="172" customWidth="1"/>
    <col min="11019" max="11035" width="36.85546875" style="172" customWidth="1"/>
    <col min="11036" max="11036" width="37" style="172" customWidth="1"/>
    <col min="11037" max="11052" width="36.85546875" style="172" customWidth="1"/>
    <col min="11053" max="11053" width="37.140625" style="172" customWidth="1"/>
    <col min="11054" max="11055" width="36.85546875" style="172" customWidth="1"/>
    <col min="11056" max="11056" width="36.5703125" style="172" customWidth="1"/>
    <col min="11057" max="11058" width="36.85546875" style="172" customWidth="1"/>
    <col min="11059" max="11059" width="36.5703125" style="172" customWidth="1"/>
    <col min="11060" max="11060" width="37" style="172" customWidth="1"/>
    <col min="11061" max="11079" width="36.85546875" style="172" customWidth="1"/>
    <col min="11080" max="11080" width="37" style="172" customWidth="1"/>
    <col min="11081" max="11098" width="36.85546875" style="172" customWidth="1"/>
    <col min="11099" max="11099" width="36.5703125" style="172" customWidth="1"/>
    <col min="11100" max="11112" width="36.85546875" style="172" customWidth="1"/>
    <col min="11113" max="11113" width="36.5703125" style="172" customWidth="1"/>
    <col min="11114" max="11116" width="36.85546875" style="172" customWidth="1"/>
    <col min="11117" max="11117" width="36.5703125" style="172" customWidth="1"/>
    <col min="11118" max="11125" width="36.85546875" style="172" customWidth="1"/>
    <col min="11126" max="11126" width="36.5703125" style="172" customWidth="1"/>
    <col min="11127" max="11264" width="36.85546875" style="172"/>
    <col min="11265" max="11265" width="18.5703125" style="172" customWidth="1"/>
    <col min="11266" max="11274" width="31.42578125" style="172" customWidth="1"/>
    <col min="11275" max="11291" width="36.85546875" style="172" customWidth="1"/>
    <col min="11292" max="11292" width="37" style="172" customWidth="1"/>
    <col min="11293" max="11308" width="36.85546875" style="172" customWidth="1"/>
    <col min="11309" max="11309" width="37.140625" style="172" customWidth="1"/>
    <col min="11310" max="11311" width="36.85546875" style="172" customWidth="1"/>
    <col min="11312" max="11312" width="36.5703125" style="172" customWidth="1"/>
    <col min="11313" max="11314" width="36.85546875" style="172" customWidth="1"/>
    <col min="11315" max="11315" width="36.5703125" style="172" customWidth="1"/>
    <col min="11316" max="11316" width="37" style="172" customWidth="1"/>
    <col min="11317" max="11335" width="36.85546875" style="172" customWidth="1"/>
    <col min="11336" max="11336" width="37" style="172" customWidth="1"/>
    <col min="11337" max="11354" width="36.85546875" style="172" customWidth="1"/>
    <col min="11355" max="11355" width="36.5703125" style="172" customWidth="1"/>
    <col min="11356" max="11368" width="36.85546875" style="172" customWidth="1"/>
    <col min="11369" max="11369" width="36.5703125" style="172" customWidth="1"/>
    <col min="11370" max="11372" width="36.85546875" style="172" customWidth="1"/>
    <col min="11373" max="11373" width="36.5703125" style="172" customWidth="1"/>
    <col min="11374" max="11381" width="36.85546875" style="172" customWidth="1"/>
    <col min="11382" max="11382" width="36.5703125" style="172" customWidth="1"/>
    <col min="11383" max="11520" width="36.85546875" style="172"/>
    <col min="11521" max="11521" width="18.5703125" style="172" customWidth="1"/>
    <col min="11522" max="11530" width="31.42578125" style="172" customWidth="1"/>
    <col min="11531" max="11547" width="36.85546875" style="172" customWidth="1"/>
    <col min="11548" max="11548" width="37" style="172" customWidth="1"/>
    <col min="11549" max="11564" width="36.85546875" style="172" customWidth="1"/>
    <col min="11565" max="11565" width="37.140625" style="172" customWidth="1"/>
    <col min="11566" max="11567" width="36.85546875" style="172" customWidth="1"/>
    <col min="11568" max="11568" width="36.5703125" style="172" customWidth="1"/>
    <col min="11569" max="11570" width="36.85546875" style="172" customWidth="1"/>
    <col min="11571" max="11571" width="36.5703125" style="172" customWidth="1"/>
    <col min="11572" max="11572" width="37" style="172" customWidth="1"/>
    <col min="11573" max="11591" width="36.85546875" style="172" customWidth="1"/>
    <col min="11592" max="11592" width="37" style="172" customWidth="1"/>
    <col min="11593" max="11610" width="36.85546875" style="172" customWidth="1"/>
    <col min="11611" max="11611" width="36.5703125" style="172" customWidth="1"/>
    <col min="11612" max="11624" width="36.85546875" style="172" customWidth="1"/>
    <col min="11625" max="11625" width="36.5703125" style="172" customWidth="1"/>
    <col min="11626" max="11628" width="36.85546875" style="172" customWidth="1"/>
    <col min="11629" max="11629" width="36.5703125" style="172" customWidth="1"/>
    <col min="11630" max="11637" width="36.85546875" style="172" customWidth="1"/>
    <col min="11638" max="11638" width="36.5703125" style="172" customWidth="1"/>
    <col min="11639" max="11776" width="36.85546875" style="172"/>
    <col min="11777" max="11777" width="18.5703125" style="172" customWidth="1"/>
    <col min="11778" max="11786" width="31.42578125" style="172" customWidth="1"/>
    <col min="11787" max="11803" width="36.85546875" style="172" customWidth="1"/>
    <col min="11804" max="11804" width="37" style="172" customWidth="1"/>
    <col min="11805" max="11820" width="36.85546875" style="172" customWidth="1"/>
    <col min="11821" max="11821" width="37.140625" style="172" customWidth="1"/>
    <col min="11822" max="11823" width="36.85546875" style="172" customWidth="1"/>
    <col min="11824" max="11824" width="36.5703125" style="172" customWidth="1"/>
    <col min="11825" max="11826" width="36.85546875" style="172" customWidth="1"/>
    <col min="11827" max="11827" width="36.5703125" style="172" customWidth="1"/>
    <col min="11828" max="11828" width="37" style="172" customWidth="1"/>
    <col min="11829" max="11847" width="36.85546875" style="172" customWidth="1"/>
    <col min="11848" max="11848" width="37" style="172" customWidth="1"/>
    <col min="11849" max="11866" width="36.85546875" style="172" customWidth="1"/>
    <col min="11867" max="11867" width="36.5703125" style="172" customWidth="1"/>
    <col min="11868" max="11880" width="36.85546875" style="172" customWidth="1"/>
    <col min="11881" max="11881" width="36.5703125" style="172" customWidth="1"/>
    <col min="11882" max="11884" width="36.85546875" style="172" customWidth="1"/>
    <col min="11885" max="11885" width="36.5703125" style="172" customWidth="1"/>
    <col min="11886" max="11893" width="36.85546875" style="172" customWidth="1"/>
    <col min="11894" max="11894" width="36.5703125" style="172" customWidth="1"/>
    <col min="11895" max="12032" width="36.85546875" style="172"/>
    <col min="12033" max="12033" width="18.5703125" style="172" customWidth="1"/>
    <col min="12034" max="12042" width="31.42578125" style="172" customWidth="1"/>
    <col min="12043" max="12059" width="36.85546875" style="172" customWidth="1"/>
    <col min="12060" max="12060" width="37" style="172" customWidth="1"/>
    <col min="12061" max="12076" width="36.85546875" style="172" customWidth="1"/>
    <col min="12077" max="12077" width="37.140625" style="172" customWidth="1"/>
    <col min="12078" max="12079" width="36.85546875" style="172" customWidth="1"/>
    <col min="12080" max="12080" width="36.5703125" style="172" customWidth="1"/>
    <col min="12081" max="12082" width="36.85546875" style="172" customWidth="1"/>
    <col min="12083" max="12083" width="36.5703125" style="172" customWidth="1"/>
    <col min="12084" max="12084" width="37" style="172" customWidth="1"/>
    <col min="12085" max="12103" width="36.85546875" style="172" customWidth="1"/>
    <col min="12104" max="12104" width="37" style="172" customWidth="1"/>
    <col min="12105" max="12122" width="36.85546875" style="172" customWidth="1"/>
    <col min="12123" max="12123" width="36.5703125" style="172" customWidth="1"/>
    <col min="12124" max="12136" width="36.85546875" style="172" customWidth="1"/>
    <col min="12137" max="12137" width="36.5703125" style="172" customWidth="1"/>
    <col min="12138" max="12140" width="36.85546875" style="172" customWidth="1"/>
    <col min="12141" max="12141" width="36.5703125" style="172" customWidth="1"/>
    <col min="12142" max="12149" width="36.85546875" style="172" customWidth="1"/>
    <col min="12150" max="12150" width="36.5703125" style="172" customWidth="1"/>
    <col min="12151" max="12288" width="36.85546875" style="172"/>
    <col min="12289" max="12289" width="18.5703125" style="172" customWidth="1"/>
    <col min="12290" max="12298" width="31.42578125" style="172" customWidth="1"/>
    <col min="12299" max="12315" width="36.85546875" style="172" customWidth="1"/>
    <col min="12316" max="12316" width="37" style="172" customWidth="1"/>
    <col min="12317" max="12332" width="36.85546875" style="172" customWidth="1"/>
    <col min="12333" max="12333" width="37.140625" style="172" customWidth="1"/>
    <col min="12334" max="12335" width="36.85546875" style="172" customWidth="1"/>
    <col min="12336" max="12336" width="36.5703125" style="172" customWidth="1"/>
    <col min="12337" max="12338" width="36.85546875" style="172" customWidth="1"/>
    <col min="12339" max="12339" width="36.5703125" style="172" customWidth="1"/>
    <col min="12340" max="12340" width="37" style="172" customWidth="1"/>
    <col min="12341" max="12359" width="36.85546875" style="172" customWidth="1"/>
    <col min="12360" max="12360" width="37" style="172" customWidth="1"/>
    <col min="12361" max="12378" width="36.85546875" style="172" customWidth="1"/>
    <col min="12379" max="12379" width="36.5703125" style="172" customWidth="1"/>
    <col min="12380" max="12392" width="36.85546875" style="172" customWidth="1"/>
    <col min="12393" max="12393" width="36.5703125" style="172" customWidth="1"/>
    <col min="12394" max="12396" width="36.85546875" style="172" customWidth="1"/>
    <col min="12397" max="12397" width="36.5703125" style="172" customWidth="1"/>
    <col min="12398" max="12405" width="36.85546875" style="172" customWidth="1"/>
    <col min="12406" max="12406" width="36.5703125" style="172" customWidth="1"/>
    <col min="12407" max="12544" width="36.85546875" style="172"/>
    <col min="12545" max="12545" width="18.5703125" style="172" customWidth="1"/>
    <col min="12546" max="12554" width="31.42578125" style="172" customWidth="1"/>
    <col min="12555" max="12571" width="36.85546875" style="172" customWidth="1"/>
    <col min="12572" max="12572" width="37" style="172" customWidth="1"/>
    <col min="12573" max="12588" width="36.85546875" style="172" customWidth="1"/>
    <col min="12589" max="12589" width="37.140625" style="172" customWidth="1"/>
    <col min="12590" max="12591" width="36.85546875" style="172" customWidth="1"/>
    <col min="12592" max="12592" width="36.5703125" style="172" customWidth="1"/>
    <col min="12593" max="12594" width="36.85546875" style="172" customWidth="1"/>
    <col min="12595" max="12595" width="36.5703125" style="172" customWidth="1"/>
    <col min="12596" max="12596" width="37" style="172" customWidth="1"/>
    <col min="12597" max="12615" width="36.85546875" style="172" customWidth="1"/>
    <col min="12616" max="12616" width="37" style="172" customWidth="1"/>
    <col min="12617" max="12634" width="36.85546875" style="172" customWidth="1"/>
    <col min="12635" max="12635" width="36.5703125" style="172" customWidth="1"/>
    <col min="12636" max="12648" width="36.85546875" style="172" customWidth="1"/>
    <col min="12649" max="12649" width="36.5703125" style="172" customWidth="1"/>
    <col min="12650" max="12652" width="36.85546875" style="172" customWidth="1"/>
    <col min="12653" max="12653" width="36.5703125" style="172" customWidth="1"/>
    <col min="12654" max="12661" width="36.85546875" style="172" customWidth="1"/>
    <col min="12662" max="12662" width="36.5703125" style="172" customWidth="1"/>
    <col min="12663" max="12800" width="36.85546875" style="172"/>
    <col min="12801" max="12801" width="18.5703125" style="172" customWidth="1"/>
    <col min="12802" max="12810" width="31.42578125" style="172" customWidth="1"/>
    <col min="12811" max="12827" width="36.85546875" style="172" customWidth="1"/>
    <col min="12828" max="12828" width="37" style="172" customWidth="1"/>
    <col min="12829" max="12844" width="36.85546875" style="172" customWidth="1"/>
    <col min="12845" max="12845" width="37.140625" style="172" customWidth="1"/>
    <col min="12846" max="12847" width="36.85546875" style="172" customWidth="1"/>
    <col min="12848" max="12848" width="36.5703125" style="172" customWidth="1"/>
    <col min="12849" max="12850" width="36.85546875" style="172" customWidth="1"/>
    <col min="12851" max="12851" width="36.5703125" style="172" customWidth="1"/>
    <col min="12852" max="12852" width="37" style="172" customWidth="1"/>
    <col min="12853" max="12871" width="36.85546875" style="172" customWidth="1"/>
    <col min="12872" max="12872" width="37" style="172" customWidth="1"/>
    <col min="12873" max="12890" width="36.85546875" style="172" customWidth="1"/>
    <col min="12891" max="12891" width="36.5703125" style="172" customWidth="1"/>
    <col min="12892" max="12904" width="36.85546875" style="172" customWidth="1"/>
    <col min="12905" max="12905" width="36.5703125" style="172" customWidth="1"/>
    <col min="12906" max="12908" width="36.85546875" style="172" customWidth="1"/>
    <col min="12909" max="12909" width="36.5703125" style="172" customWidth="1"/>
    <col min="12910" max="12917" width="36.85546875" style="172" customWidth="1"/>
    <col min="12918" max="12918" width="36.5703125" style="172" customWidth="1"/>
    <col min="12919" max="13056" width="36.85546875" style="172"/>
    <col min="13057" max="13057" width="18.5703125" style="172" customWidth="1"/>
    <col min="13058" max="13066" width="31.42578125" style="172" customWidth="1"/>
    <col min="13067" max="13083" width="36.85546875" style="172" customWidth="1"/>
    <col min="13084" max="13084" width="37" style="172" customWidth="1"/>
    <col min="13085" max="13100" width="36.85546875" style="172" customWidth="1"/>
    <col min="13101" max="13101" width="37.140625" style="172" customWidth="1"/>
    <col min="13102" max="13103" width="36.85546875" style="172" customWidth="1"/>
    <col min="13104" max="13104" width="36.5703125" style="172" customWidth="1"/>
    <col min="13105" max="13106" width="36.85546875" style="172" customWidth="1"/>
    <col min="13107" max="13107" width="36.5703125" style="172" customWidth="1"/>
    <col min="13108" max="13108" width="37" style="172" customWidth="1"/>
    <col min="13109" max="13127" width="36.85546875" style="172" customWidth="1"/>
    <col min="13128" max="13128" width="37" style="172" customWidth="1"/>
    <col min="13129" max="13146" width="36.85546875" style="172" customWidth="1"/>
    <col min="13147" max="13147" width="36.5703125" style="172" customWidth="1"/>
    <col min="13148" max="13160" width="36.85546875" style="172" customWidth="1"/>
    <col min="13161" max="13161" width="36.5703125" style="172" customWidth="1"/>
    <col min="13162" max="13164" width="36.85546875" style="172" customWidth="1"/>
    <col min="13165" max="13165" width="36.5703125" style="172" customWidth="1"/>
    <col min="13166" max="13173" width="36.85546875" style="172" customWidth="1"/>
    <col min="13174" max="13174" width="36.5703125" style="172" customWidth="1"/>
    <col min="13175" max="13312" width="36.85546875" style="172"/>
    <col min="13313" max="13313" width="18.5703125" style="172" customWidth="1"/>
    <col min="13314" max="13322" width="31.42578125" style="172" customWidth="1"/>
    <col min="13323" max="13339" width="36.85546875" style="172" customWidth="1"/>
    <col min="13340" max="13340" width="37" style="172" customWidth="1"/>
    <col min="13341" max="13356" width="36.85546875" style="172" customWidth="1"/>
    <col min="13357" max="13357" width="37.140625" style="172" customWidth="1"/>
    <col min="13358" max="13359" width="36.85546875" style="172" customWidth="1"/>
    <col min="13360" max="13360" width="36.5703125" style="172" customWidth="1"/>
    <col min="13361" max="13362" width="36.85546875" style="172" customWidth="1"/>
    <col min="13363" max="13363" width="36.5703125" style="172" customWidth="1"/>
    <col min="13364" max="13364" width="37" style="172" customWidth="1"/>
    <col min="13365" max="13383" width="36.85546875" style="172" customWidth="1"/>
    <col min="13384" max="13384" width="37" style="172" customWidth="1"/>
    <col min="13385" max="13402" width="36.85546875" style="172" customWidth="1"/>
    <col min="13403" max="13403" width="36.5703125" style="172" customWidth="1"/>
    <col min="13404" max="13416" width="36.85546875" style="172" customWidth="1"/>
    <col min="13417" max="13417" width="36.5703125" style="172" customWidth="1"/>
    <col min="13418" max="13420" width="36.85546875" style="172" customWidth="1"/>
    <col min="13421" max="13421" width="36.5703125" style="172" customWidth="1"/>
    <col min="13422" max="13429" width="36.85546875" style="172" customWidth="1"/>
    <col min="13430" max="13430" width="36.5703125" style="172" customWidth="1"/>
    <col min="13431" max="13568" width="36.85546875" style="172"/>
    <col min="13569" max="13569" width="18.5703125" style="172" customWidth="1"/>
    <col min="13570" max="13578" width="31.42578125" style="172" customWidth="1"/>
    <col min="13579" max="13595" width="36.85546875" style="172" customWidth="1"/>
    <col min="13596" max="13596" width="37" style="172" customWidth="1"/>
    <col min="13597" max="13612" width="36.85546875" style="172" customWidth="1"/>
    <col min="13613" max="13613" width="37.140625" style="172" customWidth="1"/>
    <col min="13614" max="13615" width="36.85546875" style="172" customWidth="1"/>
    <col min="13616" max="13616" width="36.5703125" style="172" customWidth="1"/>
    <col min="13617" max="13618" width="36.85546875" style="172" customWidth="1"/>
    <col min="13619" max="13619" width="36.5703125" style="172" customWidth="1"/>
    <col min="13620" max="13620" width="37" style="172" customWidth="1"/>
    <col min="13621" max="13639" width="36.85546875" style="172" customWidth="1"/>
    <col min="13640" max="13640" width="37" style="172" customWidth="1"/>
    <col min="13641" max="13658" width="36.85546875" style="172" customWidth="1"/>
    <col min="13659" max="13659" width="36.5703125" style="172" customWidth="1"/>
    <col min="13660" max="13672" width="36.85546875" style="172" customWidth="1"/>
    <col min="13673" max="13673" width="36.5703125" style="172" customWidth="1"/>
    <col min="13674" max="13676" width="36.85546875" style="172" customWidth="1"/>
    <col min="13677" max="13677" width="36.5703125" style="172" customWidth="1"/>
    <col min="13678" max="13685" width="36.85546875" style="172" customWidth="1"/>
    <col min="13686" max="13686" width="36.5703125" style="172" customWidth="1"/>
    <col min="13687" max="13824" width="36.85546875" style="172"/>
    <col min="13825" max="13825" width="18.5703125" style="172" customWidth="1"/>
    <col min="13826" max="13834" width="31.42578125" style="172" customWidth="1"/>
    <col min="13835" max="13851" width="36.85546875" style="172" customWidth="1"/>
    <col min="13852" max="13852" width="37" style="172" customWidth="1"/>
    <col min="13853" max="13868" width="36.85546875" style="172" customWidth="1"/>
    <col min="13869" max="13869" width="37.140625" style="172" customWidth="1"/>
    <col min="13870" max="13871" width="36.85546875" style="172" customWidth="1"/>
    <col min="13872" max="13872" width="36.5703125" style="172" customWidth="1"/>
    <col min="13873" max="13874" width="36.85546875" style="172" customWidth="1"/>
    <col min="13875" max="13875" width="36.5703125" style="172" customWidth="1"/>
    <col min="13876" max="13876" width="37" style="172" customWidth="1"/>
    <col min="13877" max="13895" width="36.85546875" style="172" customWidth="1"/>
    <col min="13896" max="13896" width="37" style="172" customWidth="1"/>
    <col min="13897" max="13914" width="36.85546875" style="172" customWidth="1"/>
    <col min="13915" max="13915" width="36.5703125" style="172" customWidth="1"/>
    <col min="13916" max="13928" width="36.85546875" style="172" customWidth="1"/>
    <col min="13929" max="13929" width="36.5703125" style="172" customWidth="1"/>
    <col min="13930" max="13932" width="36.85546875" style="172" customWidth="1"/>
    <col min="13933" max="13933" width="36.5703125" style="172" customWidth="1"/>
    <col min="13934" max="13941" width="36.85546875" style="172" customWidth="1"/>
    <col min="13942" max="13942" width="36.5703125" style="172" customWidth="1"/>
    <col min="13943" max="14080" width="36.85546875" style="172"/>
    <col min="14081" max="14081" width="18.5703125" style="172" customWidth="1"/>
    <col min="14082" max="14090" width="31.42578125" style="172" customWidth="1"/>
    <col min="14091" max="14107" width="36.85546875" style="172" customWidth="1"/>
    <col min="14108" max="14108" width="37" style="172" customWidth="1"/>
    <col min="14109" max="14124" width="36.85546875" style="172" customWidth="1"/>
    <col min="14125" max="14125" width="37.140625" style="172" customWidth="1"/>
    <col min="14126" max="14127" width="36.85546875" style="172" customWidth="1"/>
    <col min="14128" max="14128" width="36.5703125" style="172" customWidth="1"/>
    <col min="14129" max="14130" width="36.85546875" style="172" customWidth="1"/>
    <col min="14131" max="14131" width="36.5703125" style="172" customWidth="1"/>
    <col min="14132" max="14132" width="37" style="172" customWidth="1"/>
    <col min="14133" max="14151" width="36.85546875" style="172" customWidth="1"/>
    <col min="14152" max="14152" width="37" style="172" customWidth="1"/>
    <col min="14153" max="14170" width="36.85546875" style="172" customWidth="1"/>
    <col min="14171" max="14171" width="36.5703125" style="172" customWidth="1"/>
    <col min="14172" max="14184" width="36.85546875" style="172" customWidth="1"/>
    <col min="14185" max="14185" width="36.5703125" style="172" customWidth="1"/>
    <col min="14186" max="14188" width="36.85546875" style="172" customWidth="1"/>
    <col min="14189" max="14189" width="36.5703125" style="172" customWidth="1"/>
    <col min="14190" max="14197" width="36.85546875" style="172" customWidth="1"/>
    <col min="14198" max="14198" width="36.5703125" style="172" customWidth="1"/>
    <col min="14199" max="14336" width="36.85546875" style="172"/>
    <col min="14337" max="14337" width="18.5703125" style="172" customWidth="1"/>
    <col min="14338" max="14346" width="31.42578125" style="172" customWidth="1"/>
    <col min="14347" max="14363" width="36.85546875" style="172" customWidth="1"/>
    <col min="14364" max="14364" width="37" style="172" customWidth="1"/>
    <col min="14365" max="14380" width="36.85546875" style="172" customWidth="1"/>
    <col min="14381" max="14381" width="37.140625" style="172" customWidth="1"/>
    <col min="14382" max="14383" width="36.85546875" style="172" customWidth="1"/>
    <col min="14384" max="14384" width="36.5703125" style="172" customWidth="1"/>
    <col min="14385" max="14386" width="36.85546875" style="172" customWidth="1"/>
    <col min="14387" max="14387" width="36.5703125" style="172" customWidth="1"/>
    <col min="14388" max="14388" width="37" style="172" customWidth="1"/>
    <col min="14389" max="14407" width="36.85546875" style="172" customWidth="1"/>
    <col min="14408" max="14408" width="37" style="172" customWidth="1"/>
    <col min="14409" max="14426" width="36.85546875" style="172" customWidth="1"/>
    <col min="14427" max="14427" width="36.5703125" style="172" customWidth="1"/>
    <col min="14428" max="14440" width="36.85546875" style="172" customWidth="1"/>
    <col min="14441" max="14441" width="36.5703125" style="172" customWidth="1"/>
    <col min="14442" max="14444" width="36.85546875" style="172" customWidth="1"/>
    <col min="14445" max="14445" width="36.5703125" style="172" customWidth="1"/>
    <col min="14446" max="14453" width="36.85546875" style="172" customWidth="1"/>
    <col min="14454" max="14454" width="36.5703125" style="172" customWidth="1"/>
    <col min="14455" max="14592" width="36.85546875" style="172"/>
    <col min="14593" max="14593" width="18.5703125" style="172" customWidth="1"/>
    <col min="14594" max="14602" width="31.42578125" style="172" customWidth="1"/>
    <col min="14603" max="14619" width="36.85546875" style="172" customWidth="1"/>
    <col min="14620" max="14620" width="37" style="172" customWidth="1"/>
    <col min="14621" max="14636" width="36.85546875" style="172" customWidth="1"/>
    <col min="14637" max="14637" width="37.140625" style="172" customWidth="1"/>
    <col min="14638" max="14639" width="36.85546875" style="172" customWidth="1"/>
    <col min="14640" max="14640" width="36.5703125" style="172" customWidth="1"/>
    <col min="14641" max="14642" width="36.85546875" style="172" customWidth="1"/>
    <col min="14643" max="14643" width="36.5703125" style="172" customWidth="1"/>
    <col min="14644" max="14644" width="37" style="172" customWidth="1"/>
    <col min="14645" max="14663" width="36.85546875" style="172" customWidth="1"/>
    <col min="14664" max="14664" width="37" style="172" customWidth="1"/>
    <col min="14665" max="14682" width="36.85546875" style="172" customWidth="1"/>
    <col min="14683" max="14683" width="36.5703125" style="172" customWidth="1"/>
    <col min="14684" max="14696" width="36.85546875" style="172" customWidth="1"/>
    <col min="14697" max="14697" width="36.5703125" style="172" customWidth="1"/>
    <col min="14698" max="14700" width="36.85546875" style="172" customWidth="1"/>
    <col min="14701" max="14701" width="36.5703125" style="172" customWidth="1"/>
    <col min="14702" max="14709" width="36.85546875" style="172" customWidth="1"/>
    <col min="14710" max="14710" width="36.5703125" style="172" customWidth="1"/>
    <col min="14711" max="14848" width="36.85546875" style="172"/>
    <col min="14849" max="14849" width="18.5703125" style="172" customWidth="1"/>
    <col min="14850" max="14858" width="31.42578125" style="172" customWidth="1"/>
    <col min="14859" max="14875" width="36.85546875" style="172" customWidth="1"/>
    <col min="14876" max="14876" width="37" style="172" customWidth="1"/>
    <col min="14877" max="14892" width="36.85546875" style="172" customWidth="1"/>
    <col min="14893" max="14893" width="37.140625" style="172" customWidth="1"/>
    <col min="14894" max="14895" width="36.85546875" style="172" customWidth="1"/>
    <col min="14896" max="14896" width="36.5703125" style="172" customWidth="1"/>
    <col min="14897" max="14898" width="36.85546875" style="172" customWidth="1"/>
    <col min="14899" max="14899" width="36.5703125" style="172" customWidth="1"/>
    <col min="14900" max="14900" width="37" style="172" customWidth="1"/>
    <col min="14901" max="14919" width="36.85546875" style="172" customWidth="1"/>
    <col min="14920" max="14920" width="37" style="172" customWidth="1"/>
    <col min="14921" max="14938" width="36.85546875" style="172" customWidth="1"/>
    <col min="14939" max="14939" width="36.5703125" style="172" customWidth="1"/>
    <col min="14940" max="14952" width="36.85546875" style="172" customWidth="1"/>
    <col min="14953" max="14953" width="36.5703125" style="172" customWidth="1"/>
    <col min="14954" max="14956" width="36.85546875" style="172" customWidth="1"/>
    <col min="14957" max="14957" width="36.5703125" style="172" customWidth="1"/>
    <col min="14958" max="14965" width="36.85546875" style="172" customWidth="1"/>
    <col min="14966" max="14966" width="36.5703125" style="172" customWidth="1"/>
    <col min="14967" max="15104" width="36.85546875" style="172"/>
    <col min="15105" max="15105" width="18.5703125" style="172" customWidth="1"/>
    <col min="15106" max="15114" width="31.42578125" style="172" customWidth="1"/>
    <col min="15115" max="15131" width="36.85546875" style="172" customWidth="1"/>
    <col min="15132" max="15132" width="37" style="172" customWidth="1"/>
    <col min="15133" max="15148" width="36.85546875" style="172" customWidth="1"/>
    <col min="15149" max="15149" width="37.140625" style="172" customWidth="1"/>
    <col min="15150" max="15151" width="36.85546875" style="172" customWidth="1"/>
    <col min="15152" max="15152" width="36.5703125" style="172" customWidth="1"/>
    <col min="15153" max="15154" width="36.85546875" style="172" customWidth="1"/>
    <col min="15155" max="15155" width="36.5703125" style="172" customWidth="1"/>
    <col min="15156" max="15156" width="37" style="172" customWidth="1"/>
    <col min="15157" max="15175" width="36.85546875" style="172" customWidth="1"/>
    <col min="15176" max="15176" width="37" style="172" customWidth="1"/>
    <col min="15177" max="15194" width="36.85546875" style="172" customWidth="1"/>
    <col min="15195" max="15195" width="36.5703125" style="172" customWidth="1"/>
    <col min="15196" max="15208" width="36.85546875" style="172" customWidth="1"/>
    <col min="15209" max="15209" width="36.5703125" style="172" customWidth="1"/>
    <col min="15210" max="15212" width="36.85546875" style="172" customWidth="1"/>
    <col min="15213" max="15213" width="36.5703125" style="172" customWidth="1"/>
    <col min="15214" max="15221" width="36.85546875" style="172" customWidth="1"/>
    <col min="15222" max="15222" width="36.5703125" style="172" customWidth="1"/>
    <col min="15223" max="15360" width="36.85546875" style="172"/>
    <col min="15361" max="15361" width="18.5703125" style="172" customWidth="1"/>
    <col min="15362" max="15370" width="31.42578125" style="172" customWidth="1"/>
    <col min="15371" max="15387" width="36.85546875" style="172" customWidth="1"/>
    <col min="15388" max="15388" width="37" style="172" customWidth="1"/>
    <col min="15389" max="15404" width="36.85546875" style="172" customWidth="1"/>
    <col min="15405" max="15405" width="37.140625" style="172" customWidth="1"/>
    <col min="15406" max="15407" width="36.85546875" style="172" customWidth="1"/>
    <col min="15408" max="15408" width="36.5703125" style="172" customWidth="1"/>
    <col min="15409" max="15410" width="36.85546875" style="172" customWidth="1"/>
    <col min="15411" max="15411" width="36.5703125" style="172" customWidth="1"/>
    <col min="15412" max="15412" width="37" style="172" customWidth="1"/>
    <col min="15413" max="15431" width="36.85546875" style="172" customWidth="1"/>
    <col min="15432" max="15432" width="37" style="172" customWidth="1"/>
    <col min="15433" max="15450" width="36.85546875" style="172" customWidth="1"/>
    <col min="15451" max="15451" width="36.5703125" style="172" customWidth="1"/>
    <col min="15452" max="15464" width="36.85546875" style="172" customWidth="1"/>
    <col min="15465" max="15465" width="36.5703125" style="172" customWidth="1"/>
    <col min="15466" max="15468" width="36.85546875" style="172" customWidth="1"/>
    <col min="15469" max="15469" width="36.5703125" style="172" customWidth="1"/>
    <col min="15470" max="15477" width="36.85546875" style="172" customWidth="1"/>
    <col min="15478" max="15478" width="36.5703125" style="172" customWidth="1"/>
    <col min="15479" max="15616" width="36.85546875" style="172"/>
    <col min="15617" max="15617" width="18.5703125" style="172" customWidth="1"/>
    <col min="15618" max="15626" width="31.42578125" style="172" customWidth="1"/>
    <col min="15627" max="15643" width="36.85546875" style="172" customWidth="1"/>
    <col min="15644" max="15644" width="37" style="172" customWidth="1"/>
    <col min="15645" max="15660" width="36.85546875" style="172" customWidth="1"/>
    <col min="15661" max="15661" width="37.140625" style="172" customWidth="1"/>
    <col min="15662" max="15663" width="36.85546875" style="172" customWidth="1"/>
    <col min="15664" max="15664" width="36.5703125" style="172" customWidth="1"/>
    <col min="15665" max="15666" width="36.85546875" style="172" customWidth="1"/>
    <col min="15667" max="15667" width="36.5703125" style="172" customWidth="1"/>
    <col min="15668" max="15668" width="37" style="172" customWidth="1"/>
    <col min="15669" max="15687" width="36.85546875" style="172" customWidth="1"/>
    <col min="15688" max="15688" width="37" style="172" customWidth="1"/>
    <col min="15689" max="15706" width="36.85546875" style="172" customWidth="1"/>
    <col min="15707" max="15707" width="36.5703125" style="172" customWidth="1"/>
    <col min="15708" max="15720" width="36.85546875" style="172" customWidth="1"/>
    <col min="15721" max="15721" width="36.5703125" style="172" customWidth="1"/>
    <col min="15722" max="15724" width="36.85546875" style="172" customWidth="1"/>
    <col min="15725" max="15725" width="36.5703125" style="172" customWidth="1"/>
    <col min="15726" max="15733" width="36.85546875" style="172" customWidth="1"/>
    <col min="15734" max="15734" width="36.5703125" style="172" customWidth="1"/>
    <col min="15735" max="15872" width="36.85546875" style="172"/>
    <col min="15873" max="15873" width="18.5703125" style="172" customWidth="1"/>
    <col min="15874" max="15882" width="31.42578125" style="172" customWidth="1"/>
    <col min="15883" max="15899" width="36.85546875" style="172" customWidth="1"/>
    <col min="15900" max="15900" width="37" style="172" customWidth="1"/>
    <col min="15901" max="15916" width="36.85546875" style="172" customWidth="1"/>
    <col min="15917" max="15917" width="37.140625" style="172" customWidth="1"/>
    <col min="15918" max="15919" width="36.85546875" style="172" customWidth="1"/>
    <col min="15920" max="15920" width="36.5703125" style="172" customWidth="1"/>
    <col min="15921" max="15922" width="36.85546875" style="172" customWidth="1"/>
    <col min="15923" max="15923" width="36.5703125" style="172" customWidth="1"/>
    <col min="15924" max="15924" width="37" style="172" customWidth="1"/>
    <col min="15925" max="15943" width="36.85546875" style="172" customWidth="1"/>
    <col min="15944" max="15944" width="37" style="172" customWidth="1"/>
    <col min="15945" max="15962" width="36.85546875" style="172" customWidth="1"/>
    <col min="15963" max="15963" width="36.5703125" style="172" customWidth="1"/>
    <col min="15964" max="15976" width="36.85546875" style="172" customWidth="1"/>
    <col min="15977" max="15977" width="36.5703125" style="172" customWidth="1"/>
    <col min="15978" max="15980" width="36.85546875" style="172" customWidth="1"/>
    <col min="15981" max="15981" width="36.5703125" style="172" customWidth="1"/>
    <col min="15982" max="15989" width="36.85546875" style="172" customWidth="1"/>
    <col min="15990" max="15990" width="36.5703125" style="172" customWidth="1"/>
    <col min="15991" max="16128" width="36.85546875" style="172"/>
    <col min="16129" max="16129" width="18.5703125" style="172" customWidth="1"/>
    <col min="16130" max="16138" width="31.42578125" style="172" customWidth="1"/>
    <col min="16139" max="16155" width="36.85546875" style="172" customWidth="1"/>
    <col min="16156" max="16156" width="37" style="172" customWidth="1"/>
    <col min="16157" max="16172" width="36.85546875" style="172" customWidth="1"/>
    <col min="16173" max="16173" width="37.140625" style="172" customWidth="1"/>
    <col min="16174" max="16175" width="36.85546875" style="172" customWidth="1"/>
    <col min="16176" max="16176" width="36.5703125" style="172" customWidth="1"/>
    <col min="16177" max="16178" width="36.85546875" style="172" customWidth="1"/>
    <col min="16179" max="16179" width="36.5703125" style="172" customWidth="1"/>
    <col min="16180" max="16180" width="37" style="172" customWidth="1"/>
    <col min="16181" max="16199" width="36.85546875" style="172" customWidth="1"/>
    <col min="16200" max="16200" width="37" style="172" customWidth="1"/>
    <col min="16201" max="16218" width="36.85546875" style="172" customWidth="1"/>
    <col min="16219" max="16219" width="36.5703125" style="172" customWidth="1"/>
    <col min="16220" max="16232" width="36.85546875" style="172" customWidth="1"/>
    <col min="16233" max="16233" width="36.5703125" style="172" customWidth="1"/>
    <col min="16234" max="16236" width="36.85546875" style="172" customWidth="1"/>
    <col min="16237" max="16237" width="36.5703125" style="172" customWidth="1"/>
    <col min="16238" max="16245" width="36.85546875" style="172" customWidth="1"/>
    <col min="16246" max="16246" width="36.5703125" style="172" customWidth="1"/>
    <col min="16247" max="16384" width="36.85546875" style="172"/>
  </cols>
  <sheetData>
    <row r="1" spans="1:245" s="124" customFormat="1" ht="12.75" customHeight="1" x14ac:dyDescent="0.25">
      <c r="A1" s="120" t="s">
        <v>121</v>
      </c>
      <c r="B1" s="121"/>
      <c r="C1" s="122"/>
      <c r="D1" s="122"/>
      <c r="E1" s="122"/>
      <c r="F1" s="122"/>
      <c r="G1" s="122"/>
      <c r="H1" s="122"/>
      <c r="I1" s="122"/>
      <c r="J1" s="122"/>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row>
    <row r="2" spans="1:245" s="128" customFormat="1" ht="12.75" customHeight="1" x14ac:dyDescent="0.25">
      <c r="A2" s="125" t="s">
        <v>122</v>
      </c>
      <c r="B2" s="126">
        <v>1</v>
      </c>
      <c r="C2" s="126">
        <v>2</v>
      </c>
      <c r="D2" s="126">
        <v>3</v>
      </c>
      <c r="E2" s="126">
        <v>4</v>
      </c>
      <c r="F2" s="126">
        <v>5</v>
      </c>
      <c r="G2" s="126">
        <v>6</v>
      </c>
      <c r="H2" s="126">
        <v>7</v>
      </c>
      <c r="I2" s="126">
        <v>8</v>
      </c>
      <c r="J2" s="126">
        <v>9</v>
      </c>
      <c r="K2" s="126">
        <v>10</v>
      </c>
      <c r="L2" s="126">
        <v>11</v>
      </c>
      <c r="M2" s="126">
        <v>12</v>
      </c>
      <c r="N2" s="126"/>
      <c r="O2" s="126"/>
      <c r="P2" s="126"/>
      <c r="Q2" s="126"/>
      <c r="R2" s="126"/>
      <c r="S2" s="126"/>
      <c r="T2" s="126"/>
      <c r="U2" s="126"/>
      <c r="V2" s="126"/>
      <c r="W2" s="126"/>
      <c r="X2" s="126"/>
      <c r="Y2" s="126"/>
      <c r="Z2" s="126"/>
      <c r="AA2" s="126"/>
      <c r="AB2" s="126"/>
      <c r="AC2" s="126"/>
      <c r="AD2" s="126"/>
      <c r="AE2" s="126"/>
      <c r="AF2" s="126"/>
      <c r="AG2" s="126"/>
      <c r="AH2" s="126"/>
      <c r="AI2" s="126"/>
      <c r="AJ2" s="127"/>
      <c r="AK2" s="127" t="str">
        <f t="shared" ref="AK2:CV2" si="0">IF(AK3="","",AJ2+1)</f>
        <v/>
      </c>
      <c r="AL2" s="127" t="str">
        <f t="shared" si="0"/>
        <v/>
      </c>
      <c r="AM2" s="127" t="str">
        <f t="shared" si="0"/>
        <v/>
      </c>
      <c r="AN2" s="127" t="str">
        <f t="shared" si="0"/>
        <v/>
      </c>
      <c r="AO2" s="127" t="str">
        <f t="shared" si="0"/>
        <v/>
      </c>
      <c r="AP2" s="127" t="str">
        <f t="shared" si="0"/>
        <v/>
      </c>
      <c r="AQ2" s="127" t="str">
        <f t="shared" si="0"/>
        <v/>
      </c>
      <c r="AR2" s="127" t="str">
        <f t="shared" si="0"/>
        <v/>
      </c>
      <c r="AS2" s="127" t="str">
        <f t="shared" si="0"/>
        <v/>
      </c>
      <c r="AT2" s="127" t="str">
        <f t="shared" si="0"/>
        <v/>
      </c>
      <c r="AU2" s="127" t="str">
        <f t="shared" si="0"/>
        <v/>
      </c>
      <c r="AV2" s="127" t="str">
        <f t="shared" si="0"/>
        <v/>
      </c>
      <c r="AW2" s="127" t="str">
        <f t="shared" si="0"/>
        <v/>
      </c>
      <c r="AX2" s="127" t="str">
        <f t="shared" si="0"/>
        <v/>
      </c>
      <c r="AY2" s="127" t="str">
        <f t="shared" si="0"/>
        <v/>
      </c>
      <c r="AZ2" s="127" t="str">
        <f t="shared" si="0"/>
        <v/>
      </c>
      <c r="BA2" s="127" t="str">
        <f t="shared" si="0"/>
        <v/>
      </c>
      <c r="BB2" s="127" t="str">
        <f t="shared" si="0"/>
        <v/>
      </c>
      <c r="BC2" s="127" t="str">
        <f t="shared" si="0"/>
        <v/>
      </c>
      <c r="BD2" s="127" t="str">
        <f t="shared" si="0"/>
        <v/>
      </c>
      <c r="BE2" s="127" t="str">
        <f t="shared" si="0"/>
        <v/>
      </c>
      <c r="BF2" s="127" t="str">
        <f t="shared" si="0"/>
        <v/>
      </c>
      <c r="BG2" s="127" t="str">
        <f t="shared" si="0"/>
        <v/>
      </c>
      <c r="BH2" s="127" t="str">
        <f t="shared" si="0"/>
        <v/>
      </c>
      <c r="BI2" s="127" t="str">
        <f t="shared" si="0"/>
        <v/>
      </c>
      <c r="BJ2" s="127" t="str">
        <f t="shared" si="0"/>
        <v/>
      </c>
      <c r="BK2" s="127" t="str">
        <f t="shared" si="0"/>
        <v/>
      </c>
      <c r="BL2" s="127" t="str">
        <f t="shared" si="0"/>
        <v/>
      </c>
      <c r="BM2" s="127" t="str">
        <f t="shared" si="0"/>
        <v/>
      </c>
      <c r="BN2" s="127" t="str">
        <f t="shared" si="0"/>
        <v/>
      </c>
      <c r="BO2" s="127" t="str">
        <f t="shared" si="0"/>
        <v/>
      </c>
      <c r="BP2" s="127" t="str">
        <f t="shared" si="0"/>
        <v/>
      </c>
      <c r="BQ2" s="127" t="str">
        <f t="shared" si="0"/>
        <v/>
      </c>
      <c r="BR2" s="127" t="str">
        <f t="shared" si="0"/>
        <v/>
      </c>
      <c r="BS2" s="127" t="str">
        <f t="shared" si="0"/>
        <v/>
      </c>
      <c r="BT2" s="127" t="str">
        <f t="shared" si="0"/>
        <v/>
      </c>
      <c r="BU2" s="127" t="str">
        <f t="shared" si="0"/>
        <v/>
      </c>
      <c r="BV2" s="127" t="str">
        <f t="shared" si="0"/>
        <v/>
      </c>
      <c r="BW2" s="127" t="str">
        <f t="shared" si="0"/>
        <v/>
      </c>
      <c r="BX2" s="127" t="str">
        <f t="shared" si="0"/>
        <v/>
      </c>
      <c r="BY2" s="127" t="str">
        <f t="shared" si="0"/>
        <v/>
      </c>
      <c r="BZ2" s="127" t="str">
        <f t="shared" si="0"/>
        <v/>
      </c>
      <c r="CA2" s="127" t="str">
        <f t="shared" si="0"/>
        <v/>
      </c>
      <c r="CB2" s="127" t="str">
        <f t="shared" si="0"/>
        <v/>
      </c>
      <c r="CC2" s="127" t="str">
        <f t="shared" si="0"/>
        <v/>
      </c>
      <c r="CD2" s="127" t="str">
        <f t="shared" si="0"/>
        <v/>
      </c>
      <c r="CE2" s="127" t="str">
        <f t="shared" si="0"/>
        <v/>
      </c>
      <c r="CF2" s="127" t="str">
        <f t="shared" si="0"/>
        <v/>
      </c>
      <c r="CG2" s="127" t="str">
        <f t="shared" si="0"/>
        <v/>
      </c>
      <c r="CH2" s="127" t="str">
        <f t="shared" si="0"/>
        <v/>
      </c>
      <c r="CI2" s="127" t="str">
        <f t="shared" si="0"/>
        <v/>
      </c>
      <c r="CJ2" s="127" t="str">
        <f t="shared" si="0"/>
        <v/>
      </c>
      <c r="CK2" s="127" t="str">
        <f t="shared" si="0"/>
        <v/>
      </c>
      <c r="CL2" s="127" t="str">
        <f t="shared" si="0"/>
        <v/>
      </c>
      <c r="CM2" s="127" t="str">
        <f t="shared" si="0"/>
        <v/>
      </c>
      <c r="CN2" s="127" t="str">
        <f t="shared" si="0"/>
        <v/>
      </c>
      <c r="CO2" s="127" t="str">
        <f t="shared" si="0"/>
        <v/>
      </c>
      <c r="CP2" s="127" t="str">
        <f t="shared" si="0"/>
        <v/>
      </c>
      <c r="CQ2" s="127" t="str">
        <f t="shared" si="0"/>
        <v/>
      </c>
      <c r="CR2" s="127" t="str">
        <f t="shared" si="0"/>
        <v/>
      </c>
      <c r="CS2" s="127" t="str">
        <f t="shared" si="0"/>
        <v/>
      </c>
      <c r="CT2" s="127" t="str">
        <f t="shared" si="0"/>
        <v/>
      </c>
      <c r="CU2" s="127" t="str">
        <f t="shared" si="0"/>
        <v/>
      </c>
      <c r="CV2" s="127" t="str">
        <f t="shared" si="0"/>
        <v/>
      </c>
      <c r="CW2" s="127" t="str">
        <f t="shared" ref="CW2:FH2" si="1">IF(CW3="","",CV2+1)</f>
        <v/>
      </c>
      <c r="CX2" s="127" t="str">
        <f t="shared" si="1"/>
        <v/>
      </c>
      <c r="CY2" s="127" t="str">
        <f t="shared" si="1"/>
        <v/>
      </c>
      <c r="CZ2" s="127" t="str">
        <f t="shared" si="1"/>
        <v/>
      </c>
      <c r="DA2" s="127" t="str">
        <f t="shared" si="1"/>
        <v/>
      </c>
      <c r="DB2" s="127" t="str">
        <f t="shared" si="1"/>
        <v/>
      </c>
      <c r="DC2" s="127" t="str">
        <f t="shared" si="1"/>
        <v/>
      </c>
      <c r="DD2" s="127" t="str">
        <f t="shared" si="1"/>
        <v/>
      </c>
      <c r="DE2" s="127" t="str">
        <f t="shared" si="1"/>
        <v/>
      </c>
      <c r="DF2" s="127" t="str">
        <f t="shared" si="1"/>
        <v/>
      </c>
      <c r="DG2" s="127" t="str">
        <f t="shared" si="1"/>
        <v/>
      </c>
      <c r="DH2" s="127" t="str">
        <f t="shared" si="1"/>
        <v/>
      </c>
      <c r="DI2" s="127" t="str">
        <f t="shared" si="1"/>
        <v/>
      </c>
      <c r="DJ2" s="127" t="str">
        <f t="shared" si="1"/>
        <v/>
      </c>
      <c r="DK2" s="127" t="str">
        <f t="shared" si="1"/>
        <v/>
      </c>
      <c r="DL2" s="127" t="str">
        <f t="shared" si="1"/>
        <v/>
      </c>
      <c r="DM2" s="127" t="str">
        <f t="shared" si="1"/>
        <v/>
      </c>
      <c r="DN2" s="127" t="str">
        <f t="shared" si="1"/>
        <v/>
      </c>
      <c r="DO2" s="127" t="str">
        <f t="shared" si="1"/>
        <v/>
      </c>
      <c r="DP2" s="127" t="str">
        <f t="shared" si="1"/>
        <v/>
      </c>
      <c r="DQ2" s="127" t="str">
        <f t="shared" si="1"/>
        <v/>
      </c>
      <c r="DR2" s="127" t="str">
        <f t="shared" si="1"/>
        <v/>
      </c>
      <c r="DS2" s="127" t="str">
        <f t="shared" si="1"/>
        <v/>
      </c>
      <c r="DT2" s="127" t="str">
        <f t="shared" si="1"/>
        <v/>
      </c>
      <c r="DU2" s="127" t="str">
        <f t="shared" si="1"/>
        <v/>
      </c>
      <c r="DV2" s="127" t="str">
        <f t="shared" si="1"/>
        <v/>
      </c>
      <c r="DW2" s="127" t="str">
        <f t="shared" si="1"/>
        <v/>
      </c>
      <c r="DX2" s="127" t="str">
        <f t="shared" si="1"/>
        <v/>
      </c>
      <c r="DY2" s="127" t="str">
        <f t="shared" si="1"/>
        <v/>
      </c>
      <c r="DZ2" s="127" t="str">
        <f t="shared" si="1"/>
        <v/>
      </c>
      <c r="EA2" s="127" t="str">
        <f t="shared" si="1"/>
        <v/>
      </c>
      <c r="EB2" s="127" t="str">
        <f t="shared" si="1"/>
        <v/>
      </c>
      <c r="EC2" s="127" t="str">
        <f t="shared" si="1"/>
        <v/>
      </c>
      <c r="ED2" s="127" t="str">
        <f t="shared" si="1"/>
        <v/>
      </c>
      <c r="EE2" s="127" t="str">
        <f t="shared" si="1"/>
        <v/>
      </c>
      <c r="EF2" s="127" t="str">
        <f t="shared" si="1"/>
        <v/>
      </c>
      <c r="EG2" s="127" t="str">
        <f t="shared" si="1"/>
        <v/>
      </c>
      <c r="EH2" s="127" t="str">
        <f t="shared" si="1"/>
        <v/>
      </c>
      <c r="EI2" s="127" t="str">
        <f t="shared" si="1"/>
        <v/>
      </c>
      <c r="EJ2" s="127" t="str">
        <f t="shared" si="1"/>
        <v/>
      </c>
      <c r="EK2" s="127" t="str">
        <f t="shared" si="1"/>
        <v/>
      </c>
      <c r="EL2" s="127" t="str">
        <f t="shared" si="1"/>
        <v/>
      </c>
      <c r="EM2" s="127" t="str">
        <f t="shared" si="1"/>
        <v/>
      </c>
      <c r="EN2" s="127" t="str">
        <f t="shared" si="1"/>
        <v/>
      </c>
      <c r="EO2" s="127" t="str">
        <f t="shared" si="1"/>
        <v/>
      </c>
      <c r="EP2" s="127" t="str">
        <f t="shared" si="1"/>
        <v/>
      </c>
      <c r="EQ2" s="127" t="str">
        <f t="shared" si="1"/>
        <v/>
      </c>
      <c r="ER2" s="127" t="str">
        <f t="shared" si="1"/>
        <v/>
      </c>
      <c r="ES2" s="127" t="str">
        <f t="shared" si="1"/>
        <v/>
      </c>
      <c r="ET2" s="127" t="str">
        <f t="shared" si="1"/>
        <v/>
      </c>
      <c r="EU2" s="127" t="str">
        <f t="shared" si="1"/>
        <v/>
      </c>
      <c r="EV2" s="127" t="str">
        <f t="shared" si="1"/>
        <v/>
      </c>
      <c r="EW2" s="127" t="str">
        <f t="shared" si="1"/>
        <v/>
      </c>
      <c r="EX2" s="127" t="str">
        <f t="shared" si="1"/>
        <v/>
      </c>
      <c r="EY2" s="127" t="str">
        <f t="shared" si="1"/>
        <v/>
      </c>
      <c r="EZ2" s="127" t="str">
        <f t="shared" si="1"/>
        <v/>
      </c>
      <c r="FA2" s="127" t="str">
        <f t="shared" si="1"/>
        <v/>
      </c>
      <c r="FB2" s="127" t="str">
        <f t="shared" si="1"/>
        <v/>
      </c>
      <c r="FC2" s="127" t="str">
        <f t="shared" si="1"/>
        <v/>
      </c>
      <c r="FD2" s="127" t="str">
        <f t="shared" si="1"/>
        <v/>
      </c>
      <c r="FE2" s="127" t="str">
        <f t="shared" si="1"/>
        <v/>
      </c>
      <c r="FF2" s="127" t="str">
        <f t="shared" si="1"/>
        <v/>
      </c>
      <c r="FG2" s="127" t="str">
        <f t="shared" si="1"/>
        <v/>
      </c>
      <c r="FH2" s="127" t="str">
        <f t="shared" si="1"/>
        <v/>
      </c>
      <c r="FI2" s="127" t="str">
        <f t="shared" ref="FI2:HT2" si="2">IF(FI3="","",FH2+1)</f>
        <v/>
      </c>
      <c r="FJ2" s="127" t="str">
        <f t="shared" si="2"/>
        <v/>
      </c>
      <c r="FK2" s="127" t="str">
        <f t="shared" si="2"/>
        <v/>
      </c>
      <c r="FL2" s="127" t="str">
        <f t="shared" si="2"/>
        <v/>
      </c>
      <c r="FM2" s="127" t="str">
        <f t="shared" si="2"/>
        <v/>
      </c>
      <c r="FN2" s="127" t="str">
        <f t="shared" si="2"/>
        <v/>
      </c>
      <c r="FO2" s="127" t="str">
        <f t="shared" si="2"/>
        <v/>
      </c>
      <c r="FP2" s="127" t="str">
        <f t="shared" si="2"/>
        <v/>
      </c>
      <c r="FQ2" s="127" t="str">
        <f t="shared" si="2"/>
        <v/>
      </c>
      <c r="FR2" s="127" t="str">
        <f t="shared" si="2"/>
        <v/>
      </c>
      <c r="FS2" s="127" t="str">
        <f t="shared" si="2"/>
        <v/>
      </c>
      <c r="FT2" s="127" t="str">
        <f t="shared" si="2"/>
        <v/>
      </c>
      <c r="FU2" s="127" t="str">
        <f t="shared" si="2"/>
        <v/>
      </c>
      <c r="FV2" s="127" t="str">
        <f t="shared" si="2"/>
        <v/>
      </c>
      <c r="FW2" s="127" t="str">
        <f t="shared" si="2"/>
        <v/>
      </c>
      <c r="FX2" s="127" t="str">
        <f t="shared" si="2"/>
        <v/>
      </c>
      <c r="FY2" s="127" t="str">
        <f t="shared" si="2"/>
        <v/>
      </c>
      <c r="FZ2" s="127" t="str">
        <f t="shared" si="2"/>
        <v/>
      </c>
      <c r="GA2" s="127" t="str">
        <f t="shared" si="2"/>
        <v/>
      </c>
      <c r="GB2" s="127" t="str">
        <f t="shared" si="2"/>
        <v/>
      </c>
      <c r="GC2" s="127" t="str">
        <f t="shared" si="2"/>
        <v/>
      </c>
      <c r="GD2" s="127" t="str">
        <f t="shared" si="2"/>
        <v/>
      </c>
      <c r="GE2" s="127" t="str">
        <f t="shared" si="2"/>
        <v/>
      </c>
      <c r="GF2" s="127" t="str">
        <f t="shared" si="2"/>
        <v/>
      </c>
      <c r="GG2" s="127" t="str">
        <f t="shared" si="2"/>
        <v/>
      </c>
      <c r="GH2" s="127" t="str">
        <f t="shared" si="2"/>
        <v/>
      </c>
      <c r="GI2" s="127" t="str">
        <f t="shared" si="2"/>
        <v/>
      </c>
      <c r="GJ2" s="127" t="str">
        <f t="shared" si="2"/>
        <v/>
      </c>
      <c r="GK2" s="127" t="str">
        <f t="shared" si="2"/>
        <v/>
      </c>
      <c r="GL2" s="127" t="str">
        <f t="shared" si="2"/>
        <v/>
      </c>
      <c r="GM2" s="127" t="str">
        <f t="shared" si="2"/>
        <v/>
      </c>
      <c r="GN2" s="127" t="str">
        <f t="shared" si="2"/>
        <v/>
      </c>
      <c r="GO2" s="127" t="str">
        <f t="shared" si="2"/>
        <v/>
      </c>
      <c r="GP2" s="127" t="str">
        <f t="shared" si="2"/>
        <v/>
      </c>
      <c r="GQ2" s="127" t="str">
        <f t="shared" si="2"/>
        <v/>
      </c>
      <c r="GR2" s="127" t="str">
        <f t="shared" si="2"/>
        <v/>
      </c>
      <c r="GS2" s="127" t="str">
        <f t="shared" si="2"/>
        <v/>
      </c>
      <c r="GT2" s="127" t="str">
        <f t="shared" si="2"/>
        <v/>
      </c>
      <c r="GU2" s="127" t="str">
        <f t="shared" si="2"/>
        <v/>
      </c>
      <c r="GV2" s="127" t="str">
        <f t="shared" si="2"/>
        <v/>
      </c>
      <c r="GW2" s="127" t="str">
        <f t="shared" si="2"/>
        <v/>
      </c>
      <c r="GX2" s="127" t="str">
        <f t="shared" si="2"/>
        <v/>
      </c>
      <c r="GY2" s="127" t="str">
        <f t="shared" si="2"/>
        <v/>
      </c>
      <c r="GZ2" s="127" t="str">
        <f t="shared" si="2"/>
        <v/>
      </c>
      <c r="HA2" s="127" t="str">
        <f t="shared" si="2"/>
        <v/>
      </c>
      <c r="HB2" s="127" t="str">
        <f t="shared" si="2"/>
        <v/>
      </c>
      <c r="HC2" s="127" t="str">
        <f t="shared" si="2"/>
        <v/>
      </c>
      <c r="HD2" s="127" t="str">
        <f t="shared" si="2"/>
        <v/>
      </c>
      <c r="HE2" s="127" t="str">
        <f t="shared" si="2"/>
        <v/>
      </c>
      <c r="HF2" s="127" t="str">
        <f t="shared" si="2"/>
        <v/>
      </c>
      <c r="HG2" s="127" t="str">
        <f t="shared" si="2"/>
        <v/>
      </c>
      <c r="HH2" s="127" t="str">
        <f t="shared" si="2"/>
        <v/>
      </c>
      <c r="HI2" s="127" t="str">
        <f t="shared" si="2"/>
        <v/>
      </c>
      <c r="HJ2" s="127" t="str">
        <f t="shared" si="2"/>
        <v/>
      </c>
      <c r="HK2" s="127" t="str">
        <f t="shared" si="2"/>
        <v/>
      </c>
      <c r="HL2" s="127" t="str">
        <f t="shared" si="2"/>
        <v/>
      </c>
      <c r="HM2" s="127" t="str">
        <f t="shared" si="2"/>
        <v/>
      </c>
      <c r="HN2" s="127" t="str">
        <f t="shared" si="2"/>
        <v/>
      </c>
      <c r="HO2" s="127" t="str">
        <f t="shared" si="2"/>
        <v/>
      </c>
      <c r="HP2" s="127" t="str">
        <f t="shared" si="2"/>
        <v/>
      </c>
      <c r="HQ2" s="127" t="str">
        <f t="shared" si="2"/>
        <v/>
      </c>
      <c r="HR2" s="127" t="str">
        <f t="shared" si="2"/>
        <v/>
      </c>
      <c r="HS2" s="127" t="str">
        <f t="shared" si="2"/>
        <v/>
      </c>
      <c r="HT2" s="127" t="str">
        <f t="shared" si="2"/>
        <v/>
      </c>
      <c r="HU2" s="127" t="str">
        <f t="shared" ref="HU2:IK2" si="3">IF(HU3="","",HT2+1)</f>
        <v/>
      </c>
      <c r="HV2" s="127" t="str">
        <f t="shared" si="3"/>
        <v/>
      </c>
      <c r="HW2" s="127" t="str">
        <f t="shared" si="3"/>
        <v/>
      </c>
      <c r="HX2" s="127" t="str">
        <f t="shared" si="3"/>
        <v/>
      </c>
      <c r="HY2" s="127" t="str">
        <f t="shared" si="3"/>
        <v/>
      </c>
      <c r="HZ2" s="127" t="str">
        <f t="shared" si="3"/>
        <v/>
      </c>
      <c r="IA2" s="127" t="str">
        <f t="shared" si="3"/>
        <v/>
      </c>
      <c r="IB2" s="127" t="str">
        <f t="shared" si="3"/>
        <v/>
      </c>
      <c r="IC2" s="127" t="str">
        <f t="shared" si="3"/>
        <v/>
      </c>
      <c r="ID2" s="127" t="str">
        <f t="shared" si="3"/>
        <v/>
      </c>
      <c r="IE2" s="127" t="str">
        <f t="shared" si="3"/>
        <v/>
      </c>
      <c r="IF2" s="127" t="str">
        <f t="shared" si="3"/>
        <v/>
      </c>
      <c r="IG2" s="127" t="str">
        <f t="shared" si="3"/>
        <v/>
      </c>
      <c r="IH2" s="127" t="str">
        <f t="shared" si="3"/>
        <v/>
      </c>
      <c r="II2" s="127" t="str">
        <f t="shared" si="3"/>
        <v/>
      </c>
      <c r="IJ2" s="127" t="str">
        <f t="shared" si="3"/>
        <v/>
      </c>
      <c r="IK2" s="127" t="str">
        <f t="shared" si="3"/>
        <v/>
      </c>
    </row>
    <row r="3" spans="1:245" s="132" customFormat="1" x14ac:dyDescent="0.2">
      <c r="A3" s="129" t="s">
        <v>123</v>
      </c>
      <c r="B3" s="132" t="s">
        <v>154</v>
      </c>
      <c r="C3" s="130" t="s">
        <v>154</v>
      </c>
      <c r="D3" s="132" t="s">
        <v>154</v>
      </c>
      <c r="F3" s="130" t="s">
        <v>154</v>
      </c>
      <c r="G3" s="131" t="s">
        <v>154</v>
      </c>
      <c r="H3" s="131" t="s">
        <v>154</v>
      </c>
      <c r="I3" s="130" t="s">
        <v>152</v>
      </c>
      <c r="J3" s="130"/>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row>
    <row r="4" spans="1:245" s="132" customFormat="1" ht="51" x14ac:dyDescent="0.2">
      <c r="A4" s="129" t="s">
        <v>124</v>
      </c>
      <c r="B4" s="132" t="s">
        <v>484</v>
      </c>
      <c r="C4" s="130" t="s">
        <v>475</v>
      </c>
      <c r="D4" s="132" t="s">
        <v>495</v>
      </c>
      <c r="E4" s="132" t="s">
        <v>502</v>
      </c>
      <c r="F4" s="130" t="s">
        <v>373</v>
      </c>
      <c r="G4" s="130" t="s">
        <v>349</v>
      </c>
      <c r="H4" s="130" t="s">
        <v>378</v>
      </c>
      <c r="I4" s="130" t="s">
        <v>518</v>
      </c>
      <c r="J4" s="130"/>
      <c r="K4" s="131"/>
      <c r="L4" s="130"/>
      <c r="M4" s="130"/>
      <c r="N4" s="130"/>
      <c r="O4" s="131"/>
      <c r="P4" s="131"/>
      <c r="Q4" s="130"/>
      <c r="R4" s="130"/>
      <c r="S4" s="130"/>
      <c r="T4" s="130"/>
      <c r="U4" s="130"/>
      <c r="V4" s="130"/>
      <c r="W4" s="130"/>
      <c r="X4" s="134"/>
      <c r="Y4" s="130"/>
      <c r="Z4" s="131"/>
      <c r="AA4" s="130"/>
      <c r="AB4" s="130"/>
      <c r="AC4" s="131"/>
      <c r="AD4" s="131"/>
      <c r="AE4" s="131"/>
      <c r="AF4" s="131"/>
      <c r="AG4" s="131"/>
      <c r="AH4" s="131"/>
      <c r="AI4" s="131"/>
      <c r="AQ4" s="135"/>
      <c r="AR4" s="135"/>
      <c r="AS4" s="135"/>
      <c r="AT4" s="135"/>
      <c r="AU4" s="135"/>
      <c r="AV4" s="135"/>
      <c r="AW4" s="135"/>
      <c r="GA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row>
    <row r="5" spans="1:245" s="139" customFormat="1" ht="25.5" x14ac:dyDescent="0.2">
      <c r="A5" s="136" t="s">
        <v>125</v>
      </c>
      <c r="B5" s="139" t="s">
        <v>487</v>
      </c>
      <c r="C5" s="137" t="s">
        <v>476</v>
      </c>
      <c r="D5" s="139" t="s">
        <v>492</v>
      </c>
      <c r="E5" s="139" t="s">
        <v>501</v>
      </c>
      <c r="F5" s="137" t="s">
        <v>374</v>
      </c>
      <c r="G5" s="138" t="s">
        <v>350</v>
      </c>
      <c r="H5" s="137" t="s">
        <v>379</v>
      </c>
      <c r="I5" s="137" t="s">
        <v>519</v>
      </c>
      <c r="J5" s="137"/>
      <c r="K5" s="137"/>
      <c r="L5" s="138"/>
      <c r="M5" s="137"/>
      <c r="N5" s="138"/>
      <c r="O5" s="138"/>
      <c r="P5" s="138"/>
      <c r="Q5" s="137"/>
      <c r="R5" s="138"/>
      <c r="S5" s="137"/>
      <c r="T5" s="138"/>
      <c r="U5" s="137"/>
      <c r="V5" s="138"/>
      <c r="W5" s="137"/>
      <c r="X5" s="138"/>
      <c r="Y5" s="137"/>
      <c r="Z5" s="137"/>
      <c r="AA5" s="138"/>
      <c r="AB5" s="138"/>
      <c r="AC5" s="138"/>
      <c r="AD5" s="138"/>
      <c r="AE5" s="138"/>
      <c r="AF5" s="138"/>
      <c r="AG5" s="138"/>
      <c r="AH5" s="138"/>
      <c r="AI5" s="138"/>
      <c r="DO5" s="140"/>
      <c r="GC5" s="141"/>
      <c r="GD5" s="141"/>
      <c r="GE5" s="141"/>
      <c r="GF5" s="141"/>
      <c r="GG5" s="141"/>
      <c r="GH5" s="141"/>
      <c r="GI5" s="141"/>
      <c r="GJ5" s="141"/>
      <c r="GK5" s="141"/>
      <c r="GL5" s="141"/>
      <c r="GM5" s="141"/>
      <c r="GN5" s="141"/>
      <c r="GO5" s="141"/>
      <c r="GP5" s="141"/>
      <c r="GQ5" s="141"/>
      <c r="GR5" s="141"/>
      <c r="GS5" s="141"/>
      <c r="GT5" s="141"/>
      <c r="GU5" s="141"/>
      <c r="GV5" s="141"/>
      <c r="GW5" s="142"/>
      <c r="GX5" s="141"/>
      <c r="GY5" s="141"/>
      <c r="GZ5" s="141"/>
      <c r="HA5" s="141"/>
      <c r="HB5" s="141"/>
    </row>
    <row r="6" spans="1:245" s="139" customFormat="1" ht="25.5" x14ac:dyDescent="0.2">
      <c r="A6" s="136" t="s">
        <v>126</v>
      </c>
      <c r="B6" s="139" t="s">
        <v>485</v>
      </c>
      <c r="C6" s="137"/>
      <c r="D6" s="139" t="s">
        <v>493</v>
      </c>
      <c r="F6" s="137"/>
      <c r="G6" s="138"/>
      <c r="H6" s="138"/>
      <c r="I6" s="137"/>
      <c r="J6" s="137"/>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GC6" s="141"/>
      <c r="GD6" s="141"/>
      <c r="GE6" s="141"/>
      <c r="GF6" s="141"/>
      <c r="GG6" s="141"/>
      <c r="GH6" s="141"/>
      <c r="GI6" s="141"/>
      <c r="GJ6" s="141"/>
      <c r="GK6" s="141"/>
      <c r="GL6" s="141"/>
      <c r="GM6" s="141"/>
      <c r="GN6" s="141"/>
      <c r="GO6" s="141"/>
      <c r="GP6" s="141"/>
      <c r="GQ6" s="141"/>
      <c r="GR6" s="141"/>
      <c r="GS6" s="141"/>
      <c r="GT6" s="141"/>
      <c r="GU6" s="141"/>
      <c r="GV6" s="141"/>
      <c r="GW6" s="141"/>
      <c r="GX6" s="141"/>
      <c r="GY6" s="141"/>
      <c r="GZ6" s="141"/>
      <c r="HA6" s="141"/>
      <c r="HB6" s="141"/>
    </row>
    <row r="7" spans="1:245" s="145" customFormat="1" x14ac:dyDescent="0.2">
      <c r="A7" s="129" t="s">
        <v>127</v>
      </c>
      <c r="B7" s="145" t="s">
        <v>486</v>
      </c>
      <c r="C7" s="143" t="s">
        <v>477</v>
      </c>
      <c r="D7" s="145" t="s">
        <v>494</v>
      </c>
      <c r="E7" s="145" t="s">
        <v>503</v>
      </c>
      <c r="F7" s="143" t="s">
        <v>375</v>
      </c>
      <c r="G7" s="144" t="s">
        <v>351</v>
      </c>
      <c r="H7" s="143" t="s">
        <v>380</v>
      </c>
      <c r="I7" s="143" t="s">
        <v>520</v>
      </c>
      <c r="J7" s="143"/>
      <c r="K7" s="144"/>
      <c r="L7" s="144"/>
      <c r="M7" s="143"/>
      <c r="N7" s="144"/>
      <c r="O7" s="144"/>
      <c r="P7" s="144"/>
      <c r="Q7" s="143"/>
      <c r="R7" s="144"/>
      <c r="S7" s="143"/>
      <c r="T7" s="144"/>
      <c r="U7" s="144"/>
      <c r="V7" s="144"/>
      <c r="W7" s="144"/>
      <c r="X7" s="144"/>
      <c r="Y7" s="144"/>
      <c r="Z7" s="144"/>
      <c r="AA7" s="144"/>
      <c r="AB7" s="144"/>
      <c r="AC7" s="144"/>
      <c r="AD7" s="144"/>
      <c r="AE7" s="144"/>
      <c r="AF7" s="144"/>
      <c r="AG7" s="144"/>
      <c r="AH7" s="144"/>
      <c r="AI7" s="144"/>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row>
    <row r="8" spans="1:245" s="145" customFormat="1" x14ac:dyDescent="0.2">
      <c r="A8" s="129" t="s">
        <v>128</v>
      </c>
      <c r="C8" s="143"/>
      <c r="F8" s="143"/>
      <c r="G8" s="144"/>
      <c r="H8" s="144"/>
      <c r="I8" s="143"/>
      <c r="J8" s="143"/>
      <c r="K8" s="144"/>
      <c r="L8" s="144"/>
      <c r="M8" s="144"/>
      <c r="N8" s="143"/>
      <c r="O8" s="144"/>
      <c r="P8" s="144"/>
      <c r="Q8" s="144"/>
      <c r="R8" s="144"/>
      <c r="S8" s="143"/>
      <c r="T8" s="144"/>
      <c r="U8" s="144"/>
      <c r="V8" s="144"/>
      <c r="W8" s="144"/>
      <c r="X8" s="144"/>
      <c r="Y8" s="144"/>
      <c r="Z8" s="144"/>
      <c r="AA8" s="144"/>
      <c r="AB8" s="144"/>
      <c r="AC8" s="144"/>
      <c r="AD8" s="144"/>
      <c r="AE8" s="144"/>
      <c r="AF8" s="144"/>
      <c r="AG8" s="144"/>
      <c r="AH8" s="144"/>
      <c r="AI8" s="144"/>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row>
    <row r="9" spans="1:245" s="139" customFormat="1" x14ac:dyDescent="0.2">
      <c r="A9" s="136" t="s">
        <v>129</v>
      </c>
      <c r="B9" s="139" t="s">
        <v>489</v>
      </c>
      <c r="C9" s="147" t="s">
        <v>478</v>
      </c>
      <c r="D9" s="139" t="s">
        <v>478</v>
      </c>
      <c r="F9" s="147"/>
      <c r="G9" s="137" t="s">
        <v>352</v>
      </c>
      <c r="H9" s="137"/>
      <c r="I9" s="137"/>
      <c r="J9" s="137"/>
      <c r="K9" s="138"/>
      <c r="L9" s="137"/>
      <c r="M9" s="137"/>
      <c r="N9" s="138"/>
      <c r="O9" s="138"/>
      <c r="P9" s="138"/>
      <c r="Q9" s="147"/>
      <c r="R9" s="138"/>
      <c r="S9" s="137"/>
      <c r="T9" s="137"/>
      <c r="U9" s="137"/>
      <c r="V9" s="138"/>
      <c r="W9" s="138"/>
      <c r="X9" s="138"/>
      <c r="Y9" s="138"/>
      <c r="Z9" s="138"/>
      <c r="AA9" s="138"/>
      <c r="AB9" s="138"/>
      <c r="AC9" s="138"/>
      <c r="AD9" s="138"/>
      <c r="AE9" s="138"/>
      <c r="AF9" s="138"/>
      <c r="AG9" s="138"/>
      <c r="AH9" s="138"/>
      <c r="AI9" s="138"/>
      <c r="AY9" s="140"/>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row>
    <row r="10" spans="1:245" s="139" customFormat="1" x14ac:dyDescent="0.2">
      <c r="A10" s="136" t="s">
        <v>130</v>
      </c>
      <c r="B10" s="139" t="s">
        <v>488</v>
      </c>
      <c r="C10" s="137" t="s">
        <v>479</v>
      </c>
      <c r="D10" s="139" t="s">
        <v>497</v>
      </c>
      <c r="F10" s="137"/>
      <c r="G10" s="138" t="s">
        <v>353</v>
      </c>
      <c r="H10" s="138" t="s">
        <v>381</v>
      </c>
      <c r="I10" s="137" t="s">
        <v>521</v>
      </c>
      <c r="J10" s="137"/>
      <c r="K10" s="138"/>
      <c r="L10" s="138"/>
      <c r="M10" s="138"/>
      <c r="N10" s="138"/>
      <c r="O10" s="138"/>
      <c r="P10" s="138"/>
      <c r="Q10" s="137"/>
      <c r="R10" s="138"/>
      <c r="S10" s="138"/>
      <c r="T10" s="138"/>
      <c r="U10" s="138"/>
      <c r="V10" s="138"/>
      <c r="W10" s="138"/>
      <c r="X10" s="138"/>
      <c r="Y10" s="138"/>
      <c r="Z10" s="138"/>
      <c r="AA10" s="138"/>
      <c r="AB10" s="138"/>
      <c r="AC10" s="138"/>
      <c r="AD10" s="138"/>
      <c r="AE10" s="138"/>
      <c r="AF10" s="138"/>
      <c r="AG10" s="138"/>
      <c r="AH10" s="138"/>
      <c r="AI10" s="138"/>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row>
    <row r="11" spans="1:245" s="145" customFormat="1" x14ac:dyDescent="0.2">
      <c r="A11" s="129" t="s">
        <v>131</v>
      </c>
      <c r="C11" s="143"/>
      <c r="F11" s="143"/>
      <c r="G11" s="144"/>
      <c r="H11" s="144"/>
      <c r="I11" s="143"/>
      <c r="J11" s="143"/>
      <c r="K11" s="144"/>
      <c r="L11" s="144"/>
      <c r="M11" s="144"/>
      <c r="N11" s="144"/>
      <c r="O11" s="144"/>
      <c r="P11" s="144"/>
      <c r="Q11" s="144"/>
      <c r="R11" s="144"/>
      <c r="S11" s="143"/>
      <c r="T11" s="144"/>
      <c r="U11" s="144"/>
      <c r="V11" s="144"/>
      <c r="W11" s="144"/>
      <c r="X11" s="143"/>
      <c r="Y11" s="144"/>
      <c r="Z11" s="144"/>
      <c r="AA11" s="144"/>
      <c r="AB11" s="144"/>
      <c r="AC11" s="144"/>
      <c r="AD11" s="144"/>
      <c r="AE11" s="144"/>
      <c r="AF11" s="144"/>
      <c r="AG11" s="144"/>
      <c r="AH11" s="144"/>
      <c r="AI11" s="144"/>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row>
    <row r="12" spans="1:245" s="145" customFormat="1" ht="25.5" x14ac:dyDescent="0.2">
      <c r="A12" s="129" t="s">
        <v>132</v>
      </c>
      <c r="C12" s="143"/>
      <c r="F12" s="143"/>
      <c r="G12" s="144"/>
      <c r="H12" s="144"/>
      <c r="I12" s="143"/>
      <c r="J12" s="143"/>
      <c r="K12" s="144"/>
      <c r="L12" s="144"/>
      <c r="M12" s="144"/>
      <c r="N12" s="144"/>
      <c r="O12" s="144"/>
      <c r="P12" s="144"/>
      <c r="Q12" s="144"/>
      <c r="R12" s="144"/>
      <c r="S12" s="143"/>
      <c r="T12" s="144"/>
      <c r="U12" s="144"/>
      <c r="V12" s="144"/>
      <c r="W12" s="144"/>
      <c r="X12" s="143"/>
      <c r="Y12" s="144"/>
      <c r="Z12" s="144"/>
      <c r="AA12" s="144"/>
      <c r="AB12" s="144"/>
      <c r="AC12" s="144"/>
      <c r="AD12" s="144"/>
      <c r="AE12" s="144"/>
      <c r="AF12" s="144"/>
      <c r="AG12" s="144"/>
      <c r="AH12" s="144"/>
      <c r="AI12" s="144"/>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row>
    <row r="13" spans="1:245" s="139" customFormat="1" x14ac:dyDescent="0.2">
      <c r="A13" s="136" t="s">
        <v>133</v>
      </c>
      <c r="C13" s="137"/>
      <c r="F13" s="137"/>
      <c r="G13" s="138"/>
      <c r="H13" s="138"/>
      <c r="I13" s="137"/>
      <c r="J13" s="137"/>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GC13" s="141"/>
      <c r="GD13" s="141"/>
      <c r="GE13" s="141"/>
      <c r="GF13" s="141"/>
      <c r="GG13" s="141"/>
      <c r="GH13" s="141"/>
      <c r="GI13" s="141"/>
      <c r="GJ13" s="141"/>
      <c r="GK13" s="141"/>
      <c r="GL13" s="141"/>
      <c r="GM13" s="141"/>
      <c r="GN13" s="141"/>
      <c r="GO13" s="141"/>
      <c r="GP13" s="141"/>
      <c r="GQ13" s="141"/>
      <c r="GR13" s="141"/>
      <c r="GS13" s="141"/>
      <c r="GT13" s="141"/>
      <c r="GU13" s="141"/>
      <c r="GV13" s="141"/>
      <c r="GW13" s="141"/>
      <c r="GX13" s="141"/>
      <c r="GY13" s="141"/>
      <c r="GZ13" s="141"/>
      <c r="HA13" s="141"/>
      <c r="HB13" s="141"/>
    </row>
    <row r="14" spans="1:245" s="139" customFormat="1" x14ac:dyDescent="0.2">
      <c r="A14" s="136" t="s">
        <v>134</v>
      </c>
      <c r="C14" s="137"/>
      <c r="F14" s="137"/>
      <c r="G14" s="138"/>
      <c r="H14" s="138"/>
      <c r="I14" s="137" t="s">
        <v>522</v>
      </c>
      <c r="J14" s="137"/>
      <c r="K14" s="138"/>
      <c r="L14" s="138"/>
      <c r="M14" s="138"/>
      <c r="N14" s="137"/>
      <c r="O14" s="138"/>
      <c r="P14" s="138"/>
      <c r="Q14" s="138"/>
      <c r="R14" s="138"/>
      <c r="S14" s="138"/>
      <c r="T14" s="138"/>
      <c r="U14" s="138"/>
      <c r="V14" s="138"/>
      <c r="W14" s="138"/>
      <c r="X14" s="138"/>
      <c r="Y14" s="138"/>
      <c r="Z14" s="138"/>
      <c r="AA14" s="138"/>
      <c r="AB14" s="138"/>
      <c r="AC14" s="138"/>
      <c r="AD14" s="138"/>
      <c r="AE14" s="138"/>
      <c r="AF14" s="138"/>
      <c r="AG14" s="138"/>
      <c r="AH14" s="138"/>
      <c r="AI14" s="138"/>
      <c r="GC14" s="141"/>
      <c r="GD14" s="141"/>
      <c r="GE14" s="141"/>
      <c r="GF14" s="141"/>
      <c r="GG14" s="141"/>
      <c r="GH14" s="141"/>
      <c r="GI14" s="141"/>
      <c r="GJ14" s="141"/>
      <c r="GK14" s="141"/>
      <c r="GL14" s="141"/>
      <c r="GM14" s="141"/>
      <c r="GN14" s="141"/>
      <c r="GO14" s="141"/>
      <c r="GP14" s="141"/>
      <c r="GQ14" s="141"/>
      <c r="GR14" s="141"/>
      <c r="GS14" s="141"/>
      <c r="GT14" s="141"/>
      <c r="GU14" s="141"/>
      <c r="GV14" s="141"/>
      <c r="GW14" s="141"/>
      <c r="GX14" s="141"/>
      <c r="GY14" s="141"/>
      <c r="GZ14" s="141"/>
      <c r="HA14" s="141"/>
      <c r="HB14" s="141"/>
    </row>
    <row r="15" spans="1:245" s="132" customFormat="1" ht="25.5" x14ac:dyDescent="0.2">
      <c r="A15" s="129" t="s">
        <v>135</v>
      </c>
      <c r="C15" s="130"/>
      <c r="E15" s="132" t="s">
        <v>504</v>
      </c>
      <c r="F15" s="130"/>
      <c r="G15" s="131"/>
      <c r="H15" s="131"/>
      <c r="I15" s="130"/>
      <c r="J15" s="130"/>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GC15" s="133"/>
      <c r="GD15" s="133"/>
      <c r="GE15" s="133"/>
      <c r="GF15" s="133"/>
      <c r="GG15" s="133"/>
      <c r="GH15" s="133"/>
      <c r="GI15" s="133"/>
      <c r="GJ15" s="133"/>
      <c r="GK15" s="133"/>
      <c r="GL15" s="133"/>
      <c r="GM15" s="133"/>
      <c r="GN15" s="133"/>
      <c r="GO15" s="133"/>
      <c r="GP15" s="133"/>
      <c r="GQ15" s="133"/>
      <c r="GR15" s="133"/>
      <c r="GS15" s="133"/>
      <c r="GT15" s="133"/>
      <c r="GU15" s="133"/>
      <c r="GV15" s="133"/>
      <c r="GW15" s="133"/>
      <c r="GX15" s="133"/>
      <c r="GY15" s="133"/>
      <c r="GZ15" s="133"/>
      <c r="HA15" s="133"/>
      <c r="HB15" s="133"/>
    </row>
    <row r="16" spans="1:245" s="145" customFormat="1" x14ac:dyDescent="0.2">
      <c r="A16" s="129" t="s">
        <v>136</v>
      </c>
      <c r="C16" s="143"/>
      <c r="E16" s="145" t="s">
        <v>505</v>
      </c>
      <c r="F16" s="143"/>
      <c r="G16" s="144"/>
      <c r="H16" s="144"/>
      <c r="I16" s="143"/>
      <c r="J16" s="143"/>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CC16" s="132"/>
      <c r="GC16" s="146"/>
      <c r="GD16" s="146"/>
      <c r="GE16" s="146"/>
      <c r="GF16" s="146"/>
      <c r="GG16" s="146"/>
      <c r="GH16" s="146"/>
      <c r="GI16" s="146"/>
      <c r="GJ16" s="146"/>
      <c r="GK16" s="146"/>
      <c r="GL16" s="146"/>
      <c r="GM16" s="146"/>
      <c r="GN16" s="146"/>
      <c r="GO16" s="146"/>
      <c r="GP16" s="146"/>
      <c r="GQ16" s="146"/>
      <c r="GR16" s="146"/>
      <c r="GS16" s="146"/>
      <c r="GT16" s="146"/>
      <c r="GU16" s="146"/>
      <c r="GV16" s="146"/>
      <c r="GW16" s="146"/>
      <c r="GX16" s="146"/>
      <c r="GY16" s="146"/>
      <c r="GZ16" s="146"/>
      <c r="HA16" s="146"/>
      <c r="HB16" s="146"/>
    </row>
    <row r="17" spans="1:210" s="150" customFormat="1" x14ac:dyDescent="0.2">
      <c r="A17" s="136" t="s">
        <v>137</v>
      </c>
      <c r="C17" s="148"/>
      <c r="F17" s="148"/>
      <c r="G17" s="149"/>
      <c r="H17" s="149"/>
      <c r="I17" s="148" t="s">
        <v>523</v>
      </c>
      <c r="J17" s="148"/>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row>
    <row r="18" spans="1:210" s="150" customFormat="1" x14ac:dyDescent="0.2">
      <c r="A18" s="136" t="s">
        <v>138</v>
      </c>
      <c r="C18" s="148"/>
      <c r="F18" s="148"/>
      <c r="G18" s="149"/>
      <c r="H18" s="149"/>
      <c r="I18" s="148"/>
      <c r="J18" s="148"/>
      <c r="K18" s="149"/>
      <c r="L18" s="149"/>
      <c r="M18" s="149"/>
      <c r="N18" s="149"/>
      <c r="O18" s="149"/>
      <c r="P18" s="149"/>
      <c r="Q18" s="149"/>
      <c r="R18" s="149"/>
      <c r="S18" s="149"/>
      <c r="T18" s="149"/>
      <c r="U18" s="149"/>
      <c r="V18" s="149"/>
      <c r="W18" s="149"/>
      <c r="X18" s="152"/>
      <c r="Y18" s="149"/>
      <c r="Z18" s="149"/>
      <c r="AA18" s="149"/>
      <c r="AB18" s="149"/>
      <c r="AC18" s="149"/>
      <c r="AD18" s="149"/>
      <c r="AE18" s="149"/>
      <c r="AF18" s="149"/>
      <c r="AG18" s="149"/>
      <c r="AH18" s="149"/>
      <c r="AI18" s="149"/>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row>
    <row r="19" spans="1:210" s="132" customFormat="1" x14ac:dyDescent="0.2">
      <c r="A19" s="129" t="s">
        <v>139</v>
      </c>
      <c r="C19" s="130">
        <v>1964</v>
      </c>
      <c r="F19" s="130"/>
      <c r="G19" s="131"/>
      <c r="H19" s="131"/>
      <c r="I19" s="130"/>
      <c r="J19" s="130"/>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GC19" s="133"/>
      <c r="GD19" s="133"/>
      <c r="GE19" s="133"/>
      <c r="GF19" s="133"/>
      <c r="GG19" s="133"/>
      <c r="GH19" s="133"/>
      <c r="GI19" s="133"/>
      <c r="GJ19" s="133"/>
      <c r="GK19" s="133"/>
      <c r="GL19" s="133"/>
      <c r="GM19" s="133"/>
      <c r="GN19" s="133"/>
      <c r="GO19" s="133"/>
      <c r="GP19" s="133"/>
      <c r="GQ19" s="133"/>
      <c r="GR19" s="133"/>
      <c r="GS19" s="133"/>
      <c r="GT19" s="133"/>
      <c r="GU19" s="133"/>
      <c r="GV19" s="133"/>
      <c r="GW19" s="133"/>
      <c r="GX19" s="133"/>
      <c r="GY19" s="133"/>
      <c r="GZ19" s="133"/>
      <c r="HA19" s="133"/>
      <c r="HB19" s="133"/>
    </row>
    <row r="20" spans="1:210" s="157" customFormat="1" x14ac:dyDescent="0.25">
      <c r="A20" s="153" t="s">
        <v>140</v>
      </c>
      <c r="C20" s="154" t="s">
        <v>141</v>
      </c>
      <c r="D20" s="295" t="s">
        <v>496</v>
      </c>
      <c r="F20" s="154" t="s">
        <v>141</v>
      </c>
      <c r="G20" s="155"/>
      <c r="H20" s="156" t="s">
        <v>382</v>
      </c>
      <c r="I20" s="296" t="s">
        <v>524</v>
      </c>
      <c r="J20" s="154"/>
      <c r="K20" s="155"/>
      <c r="L20" s="155"/>
      <c r="M20" s="156"/>
      <c r="N20" s="155"/>
      <c r="P20" s="158"/>
      <c r="Q20" s="155"/>
      <c r="R20" s="155"/>
      <c r="T20" s="155"/>
      <c r="U20" s="155"/>
      <c r="V20" s="155"/>
      <c r="W20" s="155"/>
      <c r="X20" s="155"/>
      <c r="Y20" s="155"/>
      <c r="Z20" s="155"/>
      <c r="AA20" s="158"/>
      <c r="AB20" s="158"/>
      <c r="AC20" s="158"/>
      <c r="AD20" s="158"/>
      <c r="AE20" s="158"/>
      <c r="AF20" s="158"/>
      <c r="AG20" s="158"/>
      <c r="AH20" s="158"/>
      <c r="AI20" s="158"/>
      <c r="AJ20" s="158"/>
      <c r="AK20" s="158"/>
      <c r="AL20" s="158"/>
      <c r="AM20" s="158"/>
      <c r="AN20" s="158"/>
      <c r="AO20" s="158"/>
      <c r="AP20" s="158"/>
      <c r="AQ20" s="158"/>
      <c r="AR20" s="158"/>
      <c r="AS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X20" s="158"/>
      <c r="BY20" s="158"/>
      <c r="BZ20" s="158"/>
      <c r="CA20" s="158"/>
      <c r="CB20" s="158"/>
      <c r="CC20" s="158"/>
      <c r="CD20" s="158"/>
      <c r="CE20" s="158"/>
      <c r="CF20" s="158"/>
      <c r="CG20" s="158"/>
      <c r="CH20" s="158"/>
      <c r="CI20" s="158"/>
      <c r="CK20" s="158"/>
      <c r="CL20" s="158"/>
      <c r="CN20" s="158"/>
      <c r="CO20" s="158"/>
      <c r="CP20" s="158"/>
      <c r="CQ20" s="158"/>
      <c r="CR20" s="158"/>
      <c r="CS20" s="158"/>
      <c r="CT20" s="158"/>
      <c r="CU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GC20" s="156"/>
      <c r="GE20" s="156"/>
      <c r="GI20" s="156"/>
      <c r="GJ20" s="156"/>
      <c r="GK20" s="156"/>
      <c r="GM20" s="156"/>
      <c r="GN20" s="156"/>
      <c r="GO20" s="156"/>
      <c r="GP20" s="156"/>
      <c r="GQ20" s="156"/>
      <c r="GR20" s="156"/>
      <c r="GS20" s="156"/>
      <c r="GT20" s="156"/>
      <c r="GU20" s="156"/>
      <c r="GV20" s="156"/>
      <c r="GW20" s="156"/>
      <c r="GX20" s="156"/>
      <c r="GY20" s="156"/>
      <c r="GZ20" s="156"/>
      <c r="HA20" s="156"/>
      <c r="HB20" s="156"/>
    </row>
    <row r="21" spans="1:210" s="143" customFormat="1" ht="25.5" x14ac:dyDescent="0.25">
      <c r="A21" s="159" t="s">
        <v>142</v>
      </c>
      <c r="C21" s="160"/>
      <c r="F21" s="160" t="s">
        <v>376</v>
      </c>
      <c r="G21" s="161"/>
      <c r="H21" s="162"/>
      <c r="I21" s="160"/>
      <c r="J21" s="160"/>
      <c r="K21" s="161"/>
      <c r="L21" s="161"/>
      <c r="M21" s="162"/>
      <c r="N21" s="161"/>
      <c r="P21" s="163"/>
      <c r="Q21" s="161"/>
      <c r="R21" s="161"/>
      <c r="T21" s="161"/>
      <c r="U21" s="161"/>
      <c r="V21" s="161"/>
      <c r="W21" s="161"/>
      <c r="X21" s="161"/>
      <c r="Y21" s="161"/>
      <c r="Z21" s="161"/>
      <c r="AA21" s="163"/>
      <c r="AB21" s="163"/>
      <c r="AC21" s="163"/>
      <c r="AD21" s="163"/>
      <c r="AE21" s="163"/>
      <c r="AF21" s="163"/>
      <c r="AG21" s="163"/>
      <c r="AH21" s="163"/>
      <c r="AI21" s="163"/>
      <c r="AJ21" s="163"/>
      <c r="AK21" s="163"/>
      <c r="AL21" s="163"/>
      <c r="AM21" s="163"/>
      <c r="AN21" s="163"/>
      <c r="AO21" s="163"/>
      <c r="AP21" s="163"/>
      <c r="AQ21" s="163"/>
      <c r="AR21" s="163"/>
      <c r="AS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X21" s="163"/>
      <c r="BY21" s="163"/>
      <c r="BZ21" s="163"/>
      <c r="CA21" s="163"/>
      <c r="CB21" s="163"/>
      <c r="CC21" s="163"/>
      <c r="CD21" s="163"/>
      <c r="CE21" s="163"/>
      <c r="CF21" s="163"/>
      <c r="CG21" s="163"/>
      <c r="CH21" s="163"/>
      <c r="CI21" s="163"/>
      <c r="CK21" s="163"/>
      <c r="CL21" s="163"/>
      <c r="CN21" s="163"/>
      <c r="CO21" s="163"/>
      <c r="CP21" s="163"/>
      <c r="CQ21" s="163"/>
      <c r="CR21" s="163"/>
      <c r="CS21" s="163"/>
      <c r="CT21" s="163"/>
      <c r="CU21" s="163"/>
      <c r="CW21" s="163"/>
      <c r="CX21" s="163"/>
      <c r="CY21" s="163"/>
      <c r="CZ21" s="163"/>
      <c r="DA21" s="163"/>
      <c r="DB21" s="163"/>
      <c r="DC21" s="163"/>
      <c r="DD21" s="163"/>
      <c r="DE21" s="163"/>
      <c r="DF21" s="163"/>
      <c r="DG21" s="163"/>
      <c r="DH21" s="163"/>
      <c r="DI21" s="163"/>
      <c r="DJ21" s="163"/>
      <c r="DK21" s="163"/>
      <c r="DL21" s="163"/>
      <c r="DM21" s="163"/>
      <c r="DN21" s="163"/>
      <c r="DO21" s="163"/>
      <c r="DP21" s="163"/>
      <c r="DQ21" s="163"/>
      <c r="DR21" s="163"/>
      <c r="DS21" s="163"/>
      <c r="DT21" s="163"/>
      <c r="GC21" s="162"/>
      <c r="GE21" s="162"/>
      <c r="GI21" s="162"/>
      <c r="GJ21" s="162"/>
      <c r="GK21" s="162"/>
      <c r="GM21" s="162"/>
      <c r="GN21" s="162"/>
      <c r="GO21" s="162"/>
      <c r="GP21" s="162"/>
      <c r="GQ21" s="162"/>
      <c r="GR21" s="162"/>
      <c r="GS21" s="162"/>
      <c r="GT21" s="162"/>
      <c r="GU21" s="162"/>
      <c r="GV21" s="162"/>
      <c r="GW21" s="162"/>
      <c r="GX21" s="162"/>
      <c r="GY21" s="162"/>
      <c r="GZ21" s="162"/>
      <c r="HA21" s="162"/>
      <c r="HB21" s="162"/>
    </row>
    <row r="22" spans="1:210" s="139" customFormat="1" x14ac:dyDescent="0.2">
      <c r="A22" s="136" t="s">
        <v>143</v>
      </c>
      <c r="C22" s="137"/>
      <c r="F22" s="137"/>
      <c r="G22" s="138"/>
      <c r="H22" s="138"/>
      <c r="I22" s="137"/>
      <c r="J22" s="137"/>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GC22" s="141"/>
      <c r="GD22" s="141"/>
      <c r="GE22" s="141"/>
      <c r="GF22" s="141"/>
      <c r="GG22" s="141"/>
      <c r="GH22" s="141"/>
      <c r="GI22" s="141"/>
      <c r="GJ22" s="141"/>
      <c r="GK22" s="141"/>
      <c r="GL22" s="141"/>
      <c r="GM22" s="141"/>
      <c r="GN22" s="141"/>
      <c r="GO22" s="141"/>
      <c r="GP22" s="141"/>
      <c r="GQ22" s="141"/>
      <c r="GR22" s="141"/>
      <c r="GS22" s="141"/>
      <c r="GT22" s="141"/>
      <c r="GU22" s="141"/>
      <c r="GV22" s="141"/>
      <c r="GW22" s="141"/>
      <c r="GX22" s="141"/>
      <c r="GY22" s="141"/>
      <c r="GZ22" s="141"/>
      <c r="HA22" s="141"/>
      <c r="HB22" s="141"/>
    </row>
    <row r="23" spans="1:210" s="150" customFormat="1" ht="25.5" x14ac:dyDescent="0.2">
      <c r="A23" s="136" t="s">
        <v>144</v>
      </c>
      <c r="C23" s="148"/>
      <c r="F23" s="148"/>
      <c r="G23" s="149"/>
      <c r="H23" s="137"/>
      <c r="I23" s="148"/>
      <c r="J23" s="148"/>
      <c r="K23" s="138"/>
      <c r="L23" s="149"/>
      <c r="M23" s="137"/>
      <c r="N23" s="149"/>
      <c r="O23" s="149"/>
      <c r="P23" s="149"/>
      <c r="Q23" s="148"/>
      <c r="R23" s="149"/>
      <c r="S23" s="148"/>
      <c r="T23" s="149"/>
      <c r="U23" s="149"/>
      <c r="V23" s="149"/>
      <c r="W23" s="149"/>
      <c r="X23" s="148"/>
      <c r="Y23" s="149"/>
      <c r="Z23" s="149"/>
      <c r="AA23" s="149"/>
      <c r="AB23" s="149"/>
      <c r="AC23" s="149"/>
      <c r="AD23" s="149"/>
      <c r="AE23" s="149"/>
      <c r="AF23" s="149"/>
      <c r="AG23" s="149"/>
      <c r="AH23" s="149"/>
      <c r="AI23" s="149"/>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row>
    <row r="24" spans="1:210" s="145" customFormat="1" ht="25.5" x14ac:dyDescent="0.2">
      <c r="A24" s="129" t="s">
        <v>145</v>
      </c>
      <c r="C24" s="130"/>
      <c r="F24" s="130"/>
      <c r="G24" s="144"/>
      <c r="H24" s="130"/>
      <c r="I24" s="143"/>
      <c r="J24" s="143"/>
      <c r="K24" s="131"/>
      <c r="L24" s="144"/>
      <c r="M24" s="130"/>
      <c r="N24" s="144"/>
      <c r="O24" s="144"/>
      <c r="P24" s="144"/>
      <c r="Q24" s="131"/>
      <c r="R24" s="144"/>
      <c r="S24" s="130"/>
      <c r="T24" s="144"/>
      <c r="U24" s="144"/>
      <c r="V24" s="144"/>
      <c r="W24" s="144"/>
      <c r="X24" s="144"/>
      <c r="Y24" s="144"/>
      <c r="Z24" s="144"/>
      <c r="AA24" s="144"/>
      <c r="AB24" s="144"/>
      <c r="AC24" s="144"/>
      <c r="AD24" s="144"/>
      <c r="AE24" s="144"/>
      <c r="AF24" s="144"/>
      <c r="AG24" s="144"/>
      <c r="AH24" s="144"/>
      <c r="AI24" s="144"/>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row>
    <row r="25" spans="1:210" s="132" customFormat="1" x14ac:dyDescent="0.2">
      <c r="A25" s="129" t="s">
        <v>146</v>
      </c>
      <c r="C25" s="130"/>
      <c r="F25" s="130"/>
      <c r="G25" s="131"/>
      <c r="H25" s="130"/>
      <c r="I25" s="130"/>
      <c r="J25" s="130"/>
      <c r="K25" s="131"/>
      <c r="L25" s="131"/>
      <c r="M25" s="130"/>
      <c r="N25" s="131"/>
      <c r="O25" s="131"/>
      <c r="P25" s="131"/>
      <c r="Q25" s="130"/>
      <c r="R25" s="131"/>
      <c r="S25" s="130"/>
      <c r="T25" s="131"/>
      <c r="U25" s="131"/>
      <c r="V25" s="131"/>
      <c r="W25" s="131"/>
      <c r="X25" s="131"/>
      <c r="Y25" s="131"/>
      <c r="Z25" s="131"/>
      <c r="AA25" s="131"/>
      <c r="AB25" s="131"/>
      <c r="AC25" s="131"/>
      <c r="AD25" s="131"/>
      <c r="AE25" s="131"/>
      <c r="AF25" s="131"/>
      <c r="AG25" s="131"/>
      <c r="AH25" s="131"/>
      <c r="AI25" s="131"/>
      <c r="GC25" s="133"/>
      <c r="GD25" s="133"/>
      <c r="GE25" s="133"/>
      <c r="GF25" s="133"/>
      <c r="GG25" s="133"/>
      <c r="GH25" s="133"/>
      <c r="GI25" s="133"/>
      <c r="GJ25" s="133"/>
      <c r="GK25" s="133"/>
      <c r="GL25" s="133"/>
      <c r="GM25" s="133"/>
      <c r="GN25" s="133"/>
      <c r="GO25" s="133"/>
      <c r="GP25" s="133"/>
      <c r="GQ25" s="133"/>
      <c r="GR25" s="133"/>
      <c r="GS25" s="133"/>
      <c r="GT25" s="133"/>
      <c r="GU25" s="133"/>
      <c r="GV25" s="133"/>
      <c r="GW25" s="133"/>
      <c r="GX25" s="133"/>
      <c r="GY25" s="133"/>
      <c r="GZ25" s="133"/>
      <c r="HA25" s="133"/>
      <c r="HB25" s="133"/>
    </row>
    <row r="26" spans="1:210" s="139" customFormat="1" ht="103.5" customHeight="1" x14ac:dyDescent="0.2">
      <c r="A26" s="140" t="s">
        <v>147</v>
      </c>
      <c r="B26" s="139" t="s">
        <v>516</v>
      </c>
      <c r="C26" s="137" t="s">
        <v>480</v>
      </c>
      <c r="D26" s="139" t="s">
        <v>498</v>
      </c>
      <c r="E26" s="139" t="s">
        <v>500</v>
      </c>
      <c r="F26" s="137" t="s">
        <v>377</v>
      </c>
      <c r="G26" s="137" t="s">
        <v>354</v>
      </c>
      <c r="H26" s="137" t="s">
        <v>383</v>
      </c>
      <c r="I26" s="137" t="s">
        <v>525</v>
      </c>
      <c r="J26" s="137"/>
      <c r="K26" s="164"/>
      <c r="L26" s="137"/>
      <c r="M26" s="137"/>
      <c r="N26" s="137"/>
      <c r="O26" s="137"/>
      <c r="P26" s="137"/>
      <c r="Q26" s="137"/>
      <c r="R26" s="137"/>
      <c r="S26" s="137"/>
      <c r="T26" s="137"/>
      <c r="U26" s="137"/>
      <c r="V26" s="137"/>
      <c r="W26" s="137"/>
      <c r="X26" s="137"/>
      <c r="Y26" s="137"/>
      <c r="Z26" s="137"/>
      <c r="AA26" s="165"/>
      <c r="AB26" s="165"/>
      <c r="AC26" s="165"/>
      <c r="AD26" s="137"/>
      <c r="AE26" s="165"/>
      <c r="AF26" s="165"/>
      <c r="AG26" s="165"/>
      <c r="AH26" s="165"/>
      <c r="AI26" s="165"/>
      <c r="AJ26" s="140"/>
      <c r="AK26" s="166"/>
      <c r="AL26" s="166"/>
      <c r="AM26" s="166"/>
      <c r="AN26" s="166"/>
      <c r="AO26" s="166"/>
      <c r="AP26" s="166"/>
      <c r="AQ26" s="166"/>
      <c r="AR26" s="166"/>
      <c r="AS26" s="166"/>
      <c r="AU26" s="140"/>
      <c r="AV26" s="140"/>
      <c r="AW26" s="140"/>
      <c r="AX26" s="140"/>
      <c r="BL26" s="166"/>
      <c r="DS26" s="140"/>
      <c r="DT26" s="140"/>
      <c r="GC26" s="141"/>
      <c r="GD26" s="141"/>
      <c r="GE26" s="141"/>
      <c r="GF26" s="141"/>
      <c r="GG26" s="141"/>
      <c r="GH26" s="141"/>
      <c r="GI26" s="141"/>
      <c r="GJ26" s="141"/>
      <c r="GK26" s="142"/>
      <c r="GL26" s="141"/>
      <c r="GM26" s="141"/>
      <c r="GN26" s="141"/>
      <c r="GO26" s="141"/>
      <c r="GP26" s="141"/>
      <c r="GQ26" s="141"/>
      <c r="GR26" s="141"/>
      <c r="GS26" s="141"/>
      <c r="GT26" s="141"/>
      <c r="GU26" s="141"/>
      <c r="GV26" s="141"/>
      <c r="GW26" s="141"/>
      <c r="GX26" s="141"/>
      <c r="GY26" s="141"/>
      <c r="GZ26" s="141"/>
      <c r="HA26" s="167"/>
      <c r="HB26" s="167"/>
    </row>
    <row r="27" spans="1:210" s="139" customFormat="1" x14ac:dyDescent="0.25">
      <c r="A27" s="136" t="s">
        <v>148</v>
      </c>
      <c r="B27" s="138"/>
      <c r="C27" s="137"/>
      <c r="D27" s="138"/>
      <c r="F27" s="137"/>
      <c r="G27" s="137"/>
      <c r="H27" s="137"/>
      <c r="I27" s="137"/>
      <c r="J27" s="137"/>
      <c r="K27" s="138"/>
      <c r="L27" s="138"/>
      <c r="M27" s="138"/>
      <c r="N27" s="138"/>
      <c r="O27" s="138"/>
      <c r="P27" s="138"/>
      <c r="Q27" s="138"/>
      <c r="R27" s="138"/>
      <c r="S27" s="137"/>
      <c r="T27" s="138"/>
      <c r="U27" s="138"/>
      <c r="V27" s="138"/>
      <c r="W27" s="138"/>
      <c r="X27" s="137"/>
      <c r="Y27" s="138"/>
      <c r="Z27" s="138"/>
      <c r="AA27" s="138"/>
      <c r="AB27" s="138"/>
      <c r="AC27" s="138"/>
      <c r="AD27" s="138"/>
      <c r="AE27" s="138"/>
      <c r="AF27" s="138"/>
      <c r="AG27" s="138"/>
      <c r="AH27" s="138"/>
      <c r="AI27" s="138"/>
    </row>
    <row r="28" spans="1:210" s="168" customFormat="1" ht="12.75" customHeight="1" x14ac:dyDescent="0.25">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row>
    <row r="29" spans="1:210" s="168" customFormat="1" ht="12.75" customHeight="1" x14ac:dyDescent="0.25">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row>
    <row r="30" spans="1:210" s="168" customFormat="1" ht="12.75" customHeight="1" x14ac:dyDescent="0.25">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row>
    <row r="31" spans="1:210" s="168" customFormat="1" ht="12.75" customHeight="1" x14ac:dyDescent="0.25">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row>
    <row r="32" spans="1:210" s="168" customFormat="1" ht="12.75" customHeight="1" x14ac:dyDescent="0.25">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row>
    <row r="33" spans="2:35" s="168" customFormat="1" ht="12.75" customHeight="1" x14ac:dyDescent="0.25">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row>
    <row r="34" spans="2:35" s="168" customFormat="1" ht="12.75" customHeight="1" x14ac:dyDescent="0.25">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row>
    <row r="35" spans="2:35" s="168" customFormat="1" ht="12.75" customHeight="1" x14ac:dyDescent="0.25">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row>
    <row r="36" spans="2:35" s="168" customFormat="1" ht="12.75" customHeight="1" x14ac:dyDescent="0.25">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row>
    <row r="37" spans="2:35" s="168" customFormat="1" ht="12.75" customHeight="1" x14ac:dyDescent="0.25">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row>
    <row r="38" spans="2:35" s="168" customFormat="1" ht="12.75" customHeight="1" x14ac:dyDescent="0.25">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row>
    <row r="39" spans="2:35" s="168" customFormat="1" ht="12.75" customHeight="1" x14ac:dyDescent="0.25">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row>
    <row r="40" spans="2:35" s="168" customFormat="1" ht="12.75" customHeight="1" x14ac:dyDescent="0.25">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row>
    <row r="50" spans="1:35" ht="12.75" customHeight="1" x14ac:dyDescent="0.2">
      <c r="A50" s="170" t="s">
        <v>149</v>
      </c>
    </row>
    <row r="51" spans="1:35" s="173" customFormat="1" ht="12.75" customHeight="1" x14ac:dyDescent="0.25">
      <c r="B51" s="174" t="s">
        <v>150</v>
      </c>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row>
    <row r="52" spans="1:35" ht="12.75" customHeight="1" x14ac:dyDescent="0.2">
      <c r="B52" s="175" t="s">
        <v>79</v>
      </c>
    </row>
    <row r="53" spans="1:35" ht="12.75" customHeight="1" x14ac:dyDescent="0.2">
      <c r="B53" s="176" t="s">
        <v>151</v>
      </c>
    </row>
    <row r="54" spans="1:35" ht="12.75" customHeight="1" x14ac:dyDescent="0.2">
      <c r="B54" s="176" t="s">
        <v>152</v>
      </c>
    </row>
    <row r="55" spans="1:35" ht="12.75" customHeight="1" x14ac:dyDescent="0.2">
      <c r="B55" s="176" t="s">
        <v>153</v>
      </c>
    </row>
    <row r="56" spans="1:35" ht="12.75" customHeight="1" x14ac:dyDescent="0.2">
      <c r="B56" s="176" t="s">
        <v>154</v>
      </c>
    </row>
    <row r="57" spans="1:35" ht="12.75" customHeight="1" x14ac:dyDescent="0.2">
      <c r="B57" s="176" t="s">
        <v>155</v>
      </c>
    </row>
    <row r="58" spans="1:35" ht="12.75" customHeight="1" x14ac:dyDescent="0.2">
      <c r="B58" s="176" t="s">
        <v>156</v>
      </c>
    </row>
    <row r="59" spans="1:35" ht="12.75" customHeight="1" x14ac:dyDescent="0.2">
      <c r="B59" s="176" t="s">
        <v>157</v>
      </c>
    </row>
    <row r="60" spans="1:35" ht="12.75" customHeight="1" x14ac:dyDescent="0.2">
      <c r="B60" s="176" t="s">
        <v>158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hyperlinks>
    <hyperlink ref="I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6"/>
  <sheetViews>
    <sheetView workbookViewId="0">
      <selection activeCell="I8" sqref="I8"/>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13" style="3" customWidth="1"/>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56" t="s">
        <v>18</v>
      </c>
      <c r="B1" s="356"/>
      <c r="C1" s="356"/>
      <c r="D1" s="356"/>
      <c r="E1" s="356"/>
      <c r="F1" s="356"/>
      <c r="G1" s="356"/>
      <c r="H1" s="356"/>
      <c r="I1" s="356"/>
      <c r="J1" s="356"/>
      <c r="K1" s="35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77" t="s">
        <v>159</v>
      </c>
      <c r="C2" s="178"/>
      <c r="D2" s="178"/>
      <c r="E2" s="178"/>
      <c r="F2" s="178"/>
      <c r="G2" s="178"/>
      <c r="H2" s="178"/>
    </row>
    <row r="3" spans="1:39" s="176" customFormat="1" ht="40.5" customHeight="1" x14ac:dyDescent="0.2">
      <c r="B3" s="179" t="s">
        <v>160</v>
      </c>
      <c r="C3" s="180" t="s">
        <v>161</v>
      </c>
      <c r="D3" s="180" t="s">
        <v>162</v>
      </c>
      <c r="E3" s="180" t="s">
        <v>85</v>
      </c>
      <c r="F3" s="180" t="s">
        <v>163</v>
      </c>
      <c r="G3" s="180" t="s">
        <v>164</v>
      </c>
      <c r="H3" s="180" t="s">
        <v>165</v>
      </c>
      <c r="I3" s="181" t="s">
        <v>17</v>
      </c>
      <c r="J3" s="180" t="s">
        <v>166</v>
      </c>
      <c r="K3" s="180" t="s">
        <v>167</v>
      </c>
    </row>
    <row r="4" spans="1:39" s="176" customFormat="1" ht="25.5" x14ac:dyDescent="0.2">
      <c r="B4" s="44" t="s">
        <v>513</v>
      </c>
      <c r="C4" s="48">
        <v>1</v>
      </c>
      <c r="D4" s="182">
        <v>3</v>
      </c>
      <c r="E4" s="182">
        <v>2</v>
      </c>
      <c r="F4" s="182" t="s">
        <v>465</v>
      </c>
      <c r="G4" s="182" t="s">
        <v>465</v>
      </c>
      <c r="H4" s="183">
        <v>1</v>
      </c>
      <c r="I4" s="184" t="str">
        <f t="shared" ref="I4:I6" si="0">IF(D4&lt;&gt;"",D4&amp;","&amp;E4&amp;","&amp;F4&amp;","&amp;G4&amp;","&amp;H4,"0,0,0,0,0")</f>
        <v>3,2,N/A,N/A,1</v>
      </c>
      <c r="J4" s="185" t="str">
        <f>IF(MAX(D4:H4)&gt;=5, "Requirements not met", "Requirements met")</f>
        <v>Requirements met</v>
      </c>
      <c r="K4" s="186" t="str">
        <f>IF(MAX(D4:H4)&gt;=5, "Not OK", "OK")</f>
        <v>OK</v>
      </c>
    </row>
    <row r="5" spans="1:39" s="176" customFormat="1" ht="25.5" x14ac:dyDescent="0.2">
      <c r="B5" s="44" t="s">
        <v>514</v>
      </c>
      <c r="C5" s="48" t="s">
        <v>511</v>
      </c>
      <c r="D5" s="182">
        <v>2</v>
      </c>
      <c r="E5" s="182">
        <v>3</v>
      </c>
      <c r="F5" s="182" t="s">
        <v>465</v>
      </c>
      <c r="G5" s="182" t="s">
        <v>465</v>
      </c>
      <c r="H5" s="183">
        <v>2</v>
      </c>
      <c r="I5" s="184" t="str">
        <f t="shared" si="0"/>
        <v>2,3,N/A,N/A,2</v>
      </c>
      <c r="J5" s="185" t="str">
        <f>IF(MAX(D5:H5)&gt;=5, "Requirements not met", "Requirements met")</f>
        <v>Requirements met</v>
      </c>
      <c r="K5" s="186" t="str">
        <f>IF(MAX(D5:H5)&gt;=5, "Not OK", "OK")</f>
        <v>OK</v>
      </c>
    </row>
    <row r="6" spans="1:39" s="176" customFormat="1" ht="25.5" x14ac:dyDescent="0.2">
      <c r="B6" s="44" t="s">
        <v>455</v>
      </c>
      <c r="C6" s="48" t="s">
        <v>512</v>
      </c>
      <c r="D6" s="182">
        <v>2</v>
      </c>
      <c r="E6" s="182">
        <v>3</v>
      </c>
      <c r="F6" s="182" t="s">
        <v>465</v>
      </c>
      <c r="G6" s="182" t="s">
        <v>465</v>
      </c>
      <c r="H6" s="183">
        <v>3</v>
      </c>
      <c r="I6" s="184" t="str">
        <f t="shared" si="0"/>
        <v>2,3,N/A,N/A,3</v>
      </c>
      <c r="J6" s="185" t="str">
        <f>IF(MAX(D6:H6)&gt;=5, "Requirements not met", "Requirements met")</f>
        <v>Requirements met</v>
      </c>
      <c r="K6" s="186" t="str">
        <f>IF(MAX(D6:H6)&gt;=5, "Not OK", "OK")</f>
        <v>OK</v>
      </c>
    </row>
    <row r="7" spans="1:39" s="176" customFormat="1" ht="12.75" customHeight="1" x14ac:dyDescent="0.2">
      <c r="B7" s="187" t="s">
        <v>73</v>
      </c>
      <c r="C7" s="188"/>
      <c r="D7" s="188"/>
      <c r="E7" s="188"/>
      <c r="F7" s="188"/>
      <c r="G7" s="188"/>
      <c r="H7" s="188"/>
      <c r="I7" s="189" t="str">
        <f>MAX(D4:D6)&amp;","&amp;MAX(E4:E6)&amp;","&amp;IF(MAX(F4:F6)=0,"N/A",MAX(F4:F6))&amp;","&amp;IF(MAX(G4:G6)=0,"N/A",MAX(G4:G6))&amp;","&amp;MAX(H4:H6)</f>
        <v>3,3,N/A,N/A,3</v>
      </c>
      <c r="J7" s="371"/>
      <c r="K7" s="371"/>
    </row>
    <row r="8" spans="1:39" ht="20.25" x14ac:dyDescent="0.3">
      <c r="B8" s="11"/>
      <c r="C8" s="11"/>
      <c r="D8" s="11"/>
      <c r="E8" s="11"/>
      <c r="F8" s="11"/>
      <c r="G8" s="11"/>
      <c r="H8" s="11"/>
      <c r="I8" s="78"/>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39" ht="20.25" x14ac:dyDescent="0.3">
      <c r="A9" s="177" t="s">
        <v>168</v>
      </c>
      <c r="C9" s="11"/>
      <c r="D9" s="11"/>
      <c r="E9" s="11"/>
      <c r="F9" s="11"/>
      <c r="G9" s="11"/>
      <c r="H9" s="78"/>
      <c r="N9" s="11"/>
      <c r="O9" s="11"/>
      <c r="P9" s="11"/>
      <c r="Q9" s="11"/>
      <c r="R9" s="11"/>
      <c r="S9" s="11"/>
      <c r="T9" s="11"/>
      <c r="U9" s="11"/>
      <c r="V9" s="11"/>
      <c r="W9" s="11"/>
      <c r="X9" s="11"/>
      <c r="Y9" s="11"/>
      <c r="Z9" s="11"/>
      <c r="AA9" s="11"/>
      <c r="AB9" s="11"/>
      <c r="AC9" s="11"/>
      <c r="AD9" s="11"/>
      <c r="AE9" s="11"/>
      <c r="AF9" s="11"/>
      <c r="AG9" s="11"/>
      <c r="AH9" s="11"/>
      <c r="AI9" s="11"/>
      <c r="AJ9" s="11"/>
      <c r="AK9" s="11"/>
      <c r="AL9" s="11"/>
    </row>
    <row r="10" spans="1:39" s="191" customFormat="1" ht="13.5" thickBot="1" x14ac:dyDescent="0.25">
      <c r="A10" s="190" t="s">
        <v>169</v>
      </c>
    </row>
    <row r="11" spans="1:39" ht="17.25" customHeight="1" thickBot="1" x14ac:dyDescent="0.25">
      <c r="B11" s="372" t="s">
        <v>170</v>
      </c>
      <c r="C11" s="374" t="s">
        <v>171</v>
      </c>
      <c r="D11" s="375"/>
      <c r="E11" s="375"/>
      <c r="F11" s="375"/>
      <c r="G11" s="376"/>
    </row>
    <row r="12" spans="1:39" ht="13.5" thickBot="1" x14ac:dyDescent="0.25">
      <c r="B12" s="373"/>
      <c r="C12" s="192">
        <v>1</v>
      </c>
      <c r="D12" s="192">
        <v>2</v>
      </c>
      <c r="E12" s="192">
        <v>3</v>
      </c>
      <c r="F12" s="192">
        <v>4</v>
      </c>
      <c r="G12" s="192">
        <v>5</v>
      </c>
    </row>
    <row r="13" spans="1:39" ht="72.75" thickBot="1" x14ac:dyDescent="0.25">
      <c r="B13" s="377" t="s">
        <v>172</v>
      </c>
      <c r="C13" s="193" t="s">
        <v>173</v>
      </c>
      <c r="D13" s="193" t="s">
        <v>174</v>
      </c>
      <c r="E13" s="193" t="s">
        <v>175</v>
      </c>
      <c r="F13" s="193" t="s">
        <v>176</v>
      </c>
      <c r="G13" s="193" t="s">
        <v>177</v>
      </c>
    </row>
    <row r="14" spans="1:39" ht="24" customHeight="1" thickBot="1" x14ac:dyDescent="0.25">
      <c r="B14" s="378"/>
      <c r="C14" s="380" t="s">
        <v>178</v>
      </c>
      <c r="D14" s="381"/>
      <c r="E14" s="380" t="s">
        <v>179</v>
      </c>
      <c r="F14" s="382"/>
      <c r="G14" s="381"/>
    </row>
    <row r="15" spans="1:39" ht="36.75" thickBot="1" x14ac:dyDescent="0.25">
      <c r="B15" s="379"/>
      <c r="C15" s="194" t="s">
        <v>180</v>
      </c>
      <c r="D15" s="383" t="s">
        <v>181</v>
      </c>
      <c r="E15" s="384"/>
      <c r="F15" s="385" t="s">
        <v>182</v>
      </c>
      <c r="G15" s="386"/>
    </row>
    <row r="16" spans="1:39" ht="60.75" thickBot="1" x14ac:dyDescent="0.25">
      <c r="B16" s="195" t="s">
        <v>85</v>
      </c>
      <c r="C16" s="193" t="s">
        <v>183</v>
      </c>
      <c r="D16" s="193" t="s">
        <v>184</v>
      </c>
      <c r="E16" s="193" t="s">
        <v>185</v>
      </c>
      <c r="F16" s="193" t="s">
        <v>186</v>
      </c>
      <c r="G16" s="193" t="s">
        <v>187</v>
      </c>
    </row>
    <row r="17" spans="1:18" ht="44.25" customHeight="1" thickBot="1" x14ac:dyDescent="0.25">
      <c r="B17" s="195" t="s">
        <v>163</v>
      </c>
      <c r="C17" s="193" t="s">
        <v>188</v>
      </c>
      <c r="D17" s="193" t="s">
        <v>189</v>
      </c>
      <c r="E17" s="193" t="s">
        <v>190</v>
      </c>
      <c r="F17" s="193" t="s">
        <v>191</v>
      </c>
      <c r="G17" s="193" t="s">
        <v>192</v>
      </c>
    </row>
    <row r="18" spans="1:18" ht="44.25" customHeight="1" thickBot="1" x14ac:dyDescent="0.25">
      <c r="B18" s="195" t="s">
        <v>164</v>
      </c>
      <c r="C18" s="193" t="s">
        <v>193</v>
      </c>
      <c r="D18" s="193" t="s">
        <v>194</v>
      </c>
      <c r="E18" s="193" t="s">
        <v>195</v>
      </c>
      <c r="F18" s="193" t="s">
        <v>196</v>
      </c>
      <c r="G18" s="193" t="s">
        <v>197</v>
      </c>
    </row>
    <row r="19" spans="1:18" ht="44.25" customHeight="1" thickBot="1" x14ac:dyDescent="0.25">
      <c r="B19" s="195" t="s">
        <v>198</v>
      </c>
      <c r="C19" s="193" t="s">
        <v>199</v>
      </c>
      <c r="D19" s="380" t="s">
        <v>200</v>
      </c>
      <c r="E19" s="381"/>
      <c r="F19" s="193" t="s">
        <v>201</v>
      </c>
      <c r="G19" s="193" t="s">
        <v>202</v>
      </c>
    </row>
    <row r="20" spans="1:18" x14ac:dyDescent="0.2">
      <c r="B20" s="196"/>
      <c r="C20" s="197"/>
      <c r="D20" s="197"/>
      <c r="E20" s="197"/>
      <c r="F20" s="197"/>
      <c r="G20" s="197"/>
    </row>
    <row r="21" spans="1:18" customFormat="1" ht="15" x14ac:dyDescent="0.25">
      <c r="A21" s="198" t="s">
        <v>203</v>
      </c>
      <c r="C21" s="199"/>
      <c r="D21" s="199"/>
      <c r="E21" s="199"/>
      <c r="F21" s="199"/>
      <c r="G21" s="199"/>
      <c r="H21" s="199"/>
      <c r="I21" s="199"/>
      <c r="J21" s="199"/>
      <c r="K21" s="199"/>
      <c r="L21" s="199"/>
      <c r="M21" s="199"/>
      <c r="N21" s="199"/>
      <c r="O21" s="199"/>
      <c r="P21" s="199"/>
      <c r="Q21" s="199"/>
      <c r="R21" s="199"/>
    </row>
    <row r="22" spans="1:18" customFormat="1" ht="15" x14ac:dyDescent="0.25">
      <c r="B22" s="200" t="s">
        <v>204</v>
      </c>
      <c r="C22" s="201"/>
      <c r="D22" s="201"/>
      <c r="E22" s="201"/>
      <c r="F22" s="201"/>
      <c r="G22" s="201"/>
      <c r="H22" s="202"/>
      <c r="I22" s="199"/>
      <c r="J22" s="199"/>
      <c r="K22" s="199"/>
      <c r="L22" s="199"/>
      <c r="M22" s="199"/>
      <c r="N22" s="199"/>
      <c r="O22" s="199"/>
      <c r="P22" s="199"/>
      <c r="Q22" s="199"/>
      <c r="R22" s="199"/>
    </row>
    <row r="23" spans="1:18" customFormat="1" ht="65.25" customHeight="1" x14ac:dyDescent="0.25">
      <c r="B23" s="203"/>
      <c r="C23" s="368" t="s">
        <v>205</v>
      </c>
      <c r="D23" s="369"/>
      <c r="E23" s="369"/>
      <c r="F23" s="369"/>
      <c r="G23" s="369"/>
      <c r="H23" s="370"/>
      <c r="N23" s="204"/>
      <c r="O23" s="204"/>
      <c r="P23" s="204"/>
      <c r="Q23" s="204"/>
      <c r="R23" s="204"/>
    </row>
    <row r="24" spans="1:18" customFormat="1" ht="15" x14ac:dyDescent="0.25">
      <c r="B24" s="203"/>
      <c r="C24" s="205" t="s">
        <v>206</v>
      </c>
      <c r="D24" s="206"/>
      <c r="E24" s="206"/>
      <c r="F24" s="206"/>
      <c r="G24" s="206"/>
      <c r="H24" s="207"/>
      <c r="I24" s="199"/>
      <c r="J24" s="199"/>
      <c r="K24" s="199"/>
      <c r="L24" s="199"/>
      <c r="M24" s="199"/>
      <c r="N24" s="199"/>
      <c r="O24" s="199"/>
      <c r="P24" s="199"/>
      <c r="Q24" s="199"/>
      <c r="R24" s="199"/>
    </row>
    <row r="25" spans="1:18" customFormat="1" ht="15" x14ac:dyDescent="0.25">
      <c r="B25" s="203"/>
      <c r="C25" s="208" t="s">
        <v>207</v>
      </c>
      <c r="D25" s="209"/>
      <c r="E25" s="209"/>
      <c r="F25" s="209"/>
      <c r="G25" s="209"/>
      <c r="H25" s="210"/>
      <c r="I25" s="199"/>
      <c r="J25" s="199"/>
      <c r="K25" s="199"/>
      <c r="L25" s="199"/>
      <c r="M25" s="199"/>
      <c r="N25" s="199"/>
      <c r="O25" s="199"/>
      <c r="P25" s="199"/>
      <c r="Q25" s="199"/>
      <c r="R25" s="199"/>
    </row>
    <row r="26" spans="1:18" customFormat="1" ht="15" x14ac:dyDescent="0.25">
      <c r="B26" s="203"/>
      <c r="C26" s="208" t="s">
        <v>208</v>
      </c>
      <c r="D26" s="209"/>
      <c r="E26" s="209"/>
      <c r="F26" s="209"/>
      <c r="G26" s="209"/>
      <c r="H26" s="210"/>
      <c r="I26" s="199"/>
      <c r="J26" s="199"/>
      <c r="K26" s="199"/>
      <c r="L26" s="199"/>
      <c r="M26" s="199"/>
      <c r="N26" s="199"/>
      <c r="O26" s="199"/>
      <c r="P26" s="199"/>
      <c r="Q26" s="199"/>
      <c r="R26" s="199"/>
    </row>
    <row r="27" spans="1:18" customFormat="1" ht="15" x14ac:dyDescent="0.25">
      <c r="B27" s="203"/>
      <c r="C27" s="208" t="s">
        <v>209</v>
      </c>
      <c r="D27" s="209"/>
      <c r="E27" s="209"/>
      <c r="F27" s="209"/>
      <c r="G27" s="209"/>
      <c r="H27" s="210"/>
      <c r="I27" s="199"/>
      <c r="J27" s="199"/>
      <c r="K27" s="199"/>
      <c r="L27" s="199"/>
      <c r="M27" s="199"/>
      <c r="N27" s="199"/>
      <c r="O27" s="199"/>
      <c r="P27" s="199"/>
      <c r="Q27" s="199"/>
      <c r="R27" s="199"/>
    </row>
    <row r="28" spans="1:18" customFormat="1" ht="15" x14ac:dyDescent="0.25">
      <c r="B28" s="203"/>
      <c r="C28" s="208" t="s">
        <v>210</v>
      </c>
      <c r="D28" s="209"/>
      <c r="E28" s="209"/>
      <c r="F28" s="209"/>
      <c r="G28" s="209"/>
      <c r="H28" s="210"/>
      <c r="I28" s="199"/>
      <c r="J28" s="199"/>
      <c r="K28" s="199"/>
      <c r="L28" s="199"/>
      <c r="M28" s="199"/>
      <c r="N28" s="199"/>
      <c r="O28" s="199"/>
      <c r="P28" s="199"/>
      <c r="Q28" s="199"/>
      <c r="R28" s="199"/>
    </row>
    <row r="29" spans="1:18" customFormat="1" ht="41.25" customHeight="1" x14ac:dyDescent="0.25">
      <c r="B29" s="203"/>
      <c r="C29" s="387" t="s">
        <v>211</v>
      </c>
      <c r="D29" s="388"/>
      <c r="E29" s="388"/>
      <c r="F29" s="388"/>
      <c r="G29" s="388"/>
      <c r="H29" s="389"/>
      <c r="N29" s="211"/>
      <c r="O29" s="211"/>
      <c r="P29" s="211"/>
      <c r="Q29" s="199"/>
      <c r="R29" s="199"/>
    </row>
    <row r="30" spans="1:18" customFormat="1" ht="38.25" customHeight="1" x14ac:dyDescent="0.25">
      <c r="B30" s="212"/>
      <c r="C30" s="368" t="s">
        <v>212</v>
      </c>
      <c r="D30" s="369"/>
      <c r="E30" s="369"/>
      <c r="F30" s="369"/>
      <c r="G30" s="369"/>
      <c r="H30" s="370"/>
      <c r="N30" s="204"/>
      <c r="O30" s="204"/>
      <c r="P30" s="204"/>
      <c r="Q30" s="204"/>
      <c r="R30" s="199"/>
    </row>
    <row r="31" spans="1:18" customFormat="1" ht="43.5" customHeight="1" x14ac:dyDescent="0.25">
      <c r="B31" s="368" t="s">
        <v>213</v>
      </c>
      <c r="C31" s="369"/>
      <c r="D31" s="369"/>
      <c r="E31" s="369"/>
      <c r="F31" s="369"/>
      <c r="G31" s="369"/>
      <c r="H31" s="370"/>
      <c r="I31" s="199"/>
      <c r="J31" s="199"/>
      <c r="K31" s="199"/>
      <c r="L31" s="199"/>
      <c r="M31" s="199"/>
      <c r="N31" s="199"/>
      <c r="O31" s="199"/>
      <c r="P31" s="199"/>
      <c r="Q31" s="199"/>
      <c r="R31" s="199"/>
    </row>
    <row r="32" spans="1:18" customFormat="1" ht="49.5" customHeight="1" x14ac:dyDescent="0.25">
      <c r="B32" s="368" t="s">
        <v>214</v>
      </c>
      <c r="C32" s="369"/>
      <c r="D32" s="369"/>
      <c r="E32" s="369"/>
      <c r="F32" s="369"/>
      <c r="G32" s="369"/>
      <c r="H32" s="370"/>
      <c r="I32" s="213"/>
    </row>
    <row r="33" spans="1:9" customFormat="1" ht="46.5" customHeight="1" x14ac:dyDescent="0.25">
      <c r="B33" s="368" t="s">
        <v>215</v>
      </c>
      <c r="C33" s="369"/>
      <c r="D33" s="369"/>
      <c r="E33" s="369"/>
      <c r="F33" s="369"/>
      <c r="G33" s="369"/>
      <c r="H33" s="370"/>
      <c r="I33" s="213"/>
    </row>
    <row r="34" spans="1:9" customFormat="1" ht="30" customHeight="1" x14ac:dyDescent="0.25">
      <c r="B34" s="368" t="s">
        <v>216</v>
      </c>
      <c r="C34" s="369"/>
      <c r="D34" s="369"/>
      <c r="E34" s="369"/>
      <c r="F34" s="369"/>
      <c r="G34" s="369"/>
      <c r="H34" s="370"/>
      <c r="I34" s="213"/>
    </row>
    <row r="35" spans="1:9" customFormat="1" ht="15" customHeight="1" x14ac:dyDescent="0.25">
      <c r="A35" s="214" t="s">
        <v>217</v>
      </c>
      <c r="B35" s="214"/>
      <c r="I35" s="215"/>
    </row>
    <row r="36" spans="1:9" customFormat="1" ht="30" customHeight="1" x14ac:dyDescent="0.25">
      <c r="B36" s="391" t="s">
        <v>218</v>
      </c>
      <c r="C36" s="392"/>
      <c r="D36" s="392"/>
      <c r="E36" s="392"/>
      <c r="F36" s="392"/>
      <c r="G36" s="392"/>
      <c r="H36" s="393"/>
    </row>
    <row r="37" spans="1:9" customFormat="1" ht="12.75" customHeight="1" x14ac:dyDescent="0.25">
      <c r="B37" s="394" t="s">
        <v>219</v>
      </c>
      <c r="C37" s="395"/>
      <c r="D37" s="395"/>
      <c r="E37" s="395"/>
      <c r="F37" s="395"/>
      <c r="G37" s="216"/>
      <c r="H37" s="217"/>
    </row>
    <row r="38" spans="1:9" customFormat="1" ht="29.25" customHeight="1" x14ac:dyDescent="0.25">
      <c r="B38" s="396" t="s">
        <v>220</v>
      </c>
      <c r="C38" s="397"/>
      <c r="D38" s="397"/>
      <c r="E38" s="397"/>
      <c r="F38" s="397"/>
      <c r="G38" s="397"/>
      <c r="H38" s="398"/>
    </row>
    <row r="39" spans="1:9" customFormat="1" ht="15" customHeight="1" x14ac:dyDescent="0.25">
      <c r="B39" s="218" t="s">
        <v>221</v>
      </c>
      <c r="C39" s="216"/>
      <c r="D39" s="216"/>
      <c r="E39" s="216"/>
      <c r="F39" s="216"/>
      <c r="G39" s="216"/>
      <c r="H39" s="217"/>
    </row>
    <row r="40" spans="1:9" customFormat="1" ht="30.75" customHeight="1" x14ac:dyDescent="0.25">
      <c r="B40" s="396" t="s">
        <v>222</v>
      </c>
      <c r="C40" s="397"/>
      <c r="D40" s="397"/>
      <c r="E40" s="397"/>
      <c r="F40" s="397"/>
      <c r="G40" s="397"/>
      <c r="H40" s="398"/>
    </row>
    <row r="41" spans="1:9" customFormat="1" ht="12.75" customHeight="1" x14ac:dyDescent="0.25">
      <c r="B41" s="399" t="s">
        <v>223</v>
      </c>
      <c r="C41" s="400"/>
      <c r="D41" s="400"/>
      <c r="E41" s="400"/>
      <c r="F41" s="400"/>
      <c r="G41" s="400"/>
      <c r="H41" s="217"/>
    </row>
    <row r="42" spans="1:9" customFormat="1" ht="35.25" customHeight="1" x14ac:dyDescent="0.25">
      <c r="B42" s="396" t="s">
        <v>224</v>
      </c>
      <c r="C42" s="397"/>
      <c r="D42" s="397"/>
      <c r="E42" s="397"/>
      <c r="F42" s="397"/>
      <c r="G42" s="397"/>
      <c r="H42" s="398"/>
    </row>
    <row r="43" spans="1:9" customFormat="1" ht="24.75" customHeight="1" x14ac:dyDescent="0.25">
      <c r="B43" s="401" t="s">
        <v>225</v>
      </c>
      <c r="C43" s="402"/>
      <c r="D43" s="402"/>
      <c r="E43" s="402"/>
      <c r="F43" s="402"/>
      <c r="G43" s="402"/>
      <c r="H43" s="403"/>
    </row>
    <row r="44" spans="1:9" customFormat="1" ht="27.75" customHeight="1" x14ac:dyDescent="0.25">
      <c r="B44" s="387" t="s">
        <v>226</v>
      </c>
      <c r="C44" s="388"/>
      <c r="D44" s="388"/>
      <c r="E44" s="388"/>
      <c r="F44" s="388"/>
      <c r="G44" s="388"/>
      <c r="H44" s="389"/>
    </row>
    <row r="45" spans="1:9" customFormat="1" ht="21" customHeight="1" x14ac:dyDescent="0.25">
      <c r="B45" s="368" t="s">
        <v>227</v>
      </c>
      <c r="C45" s="369"/>
      <c r="D45" s="369"/>
      <c r="E45" s="369"/>
      <c r="F45" s="369"/>
      <c r="G45" s="369"/>
      <c r="H45" s="370"/>
    </row>
    <row r="46" spans="1:9" customFormat="1" ht="26.25" customHeight="1" x14ac:dyDescent="0.25">
      <c r="B46" s="390" t="s">
        <v>228</v>
      </c>
      <c r="C46" s="390"/>
      <c r="D46" s="390"/>
      <c r="E46" s="390"/>
      <c r="F46" s="390"/>
      <c r="G46" s="390"/>
      <c r="H46" s="390"/>
    </row>
  </sheetData>
  <mergeCells count="27">
    <mergeCell ref="B46:H46"/>
    <mergeCell ref="B33:H33"/>
    <mergeCell ref="B34:H34"/>
    <mergeCell ref="B36:H36"/>
    <mergeCell ref="B37:F37"/>
    <mergeCell ref="B38:H38"/>
    <mergeCell ref="B40:H40"/>
    <mergeCell ref="B41:G41"/>
    <mergeCell ref="B42:H42"/>
    <mergeCell ref="B43:H43"/>
    <mergeCell ref="B44:H44"/>
    <mergeCell ref="B45:H45"/>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s>
  <conditionalFormatting sqref="J4:K4">
    <cfRule type="expression" dxfId="3" priority="5">
      <formula>MAX(D4:H4)&gt;=5</formula>
    </cfRule>
  </conditionalFormatting>
  <conditionalFormatting sqref="J5:K5">
    <cfRule type="expression" dxfId="2" priority="4">
      <formula>MAX(D5:H5)&gt;=5</formula>
    </cfRule>
  </conditionalFormatting>
  <conditionalFormatting sqref="J6:K6">
    <cfRule type="expression" dxfId="1" priority="3">
      <formula>MAX(D6:H6)&gt;=5</formula>
    </cfRule>
  </conditionalFormatting>
  <conditionalFormatting sqref="I7">
    <cfRule type="expression" dxfId="0" priority="1">
      <formula>MAX($D$4:$H$6)&gt;=5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41"/>
  <sheetViews>
    <sheetView workbookViewId="0"/>
  </sheetViews>
  <sheetFormatPr defaultRowHeight="15" x14ac:dyDescent="0.25"/>
  <cols>
    <col min="1" max="1" width="25.85546875" style="250" customWidth="1"/>
    <col min="2" max="2" width="26.42578125" style="250" customWidth="1"/>
    <col min="3" max="3" width="23.5703125" style="250" bestFit="1" customWidth="1"/>
    <col min="4" max="4" width="23.140625" style="250" customWidth="1"/>
    <col min="5" max="5" width="17.5703125" style="250" bestFit="1" customWidth="1"/>
    <col min="6" max="6" width="12" style="250" bestFit="1" customWidth="1"/>
    <col min="7" max="7" width="9.140625" style="250" customWidth="1"/>
    <col min="8" max="8" width="22.140625" style="250" customWidth="1"/>
    <col min="9" max="9" width="19" style="253" customWidth="1"/>
    <col min="10" max="20" width="9.140625" style="250"/>
  </cols>
  <sheetData>
    <row r="1" spans="1:20" x14ac:dyDescent="0.25">
      <c r="A1" s="258"/>
      <c r="B1" s="258"/>
      <c r="C1" s="258"/>
      <c r="D1" s="258"/>
      <c r="E1" s="258"/>
      <c r="F1" s="258"/>
      <c r="G1" s="258"/>
      <c r="H1" s="259" t="s">
        <v>19</v>
      </c>
      <c r="I1" s="260"/>
      <c r="J1" s="258"/>
      <c r="K1" s="258"/>
      <c r="L1" s="258"/>
      <c r="M1" s="258"/>
      <c r="N1" s="258"/>
      <c r="O1" s="258"/>
      <c r="P1" s="258"/>
      <c r="Q1" s="258"/>
      <c r="R1" s="258"/>
      <c r="S1" s="258"/>
      <c r="T1" s="258"/>
    </row>
    <row r="2" spans="1:20" ht="18" customHeight="1" x14ac:dyDescent="0.25">
      <c r="A2" s="261" t="s">
        <v>19</v>
      </c>
      <c r="B2" s="262" t="s">
        <v>229</v>
      </c>
      <c r="C2" s="263"/>
      <c r="D2" s="261"/>
      <c r="E2" s="261"/>
      <c r="F2" s="261"/>
      <c r="G2" s="261"/>
      <c r="H2" s="261"/>
      <c r="I2" s="264" t="s">
        <v>64</v>
      </c>
      <c r="J2" s="265"/>
      <c r="K2" s="265"/>
      <c r="L2" s="265"/>
      <c r="M2" s="265"/>
      <c r="N2" s="265"/>
      <c r="O2" s="265"/>
      <c r="P2" s="265"/>
      <c r="Q2" s="265"/>
      <c r="R2" s="265"/>
      <c r="S2" s="265"/>
      <c r="T2" s="265"/>
    </row>
    <row r="3" spans="1:20" x14ac:dyDescent="0.25">
      <c r="A3" s="266" t="s">
        <v>230</v>
      </c>
      <c r="B3" s="265"/>
      <c r="C3" s="267"/>
      <c r="D3" s="265"/>
      <c r="E3" s="265"/>
      <c r="F3" s="265"/>
      <c r="G3" s="265"/>
      <c r="H3" s="265"/>
      <c r="I3" s="268"/>
      <c r="J3" s="265"/>
      <c r="K3" s="265"/>
      <c r="L3" s="265"/>
      <c r="M3" s="265"/>
      <c r="N3" s="265"/>
      <c r="O3" s="265"/>
      <c r="P3" s="265"/>
      <c r="Q3" s="265"/>
      <c r="R3" s="265"/>
      <c r="S3" s="265"/>
      <c r="T3" s="265"/>
    </row>
    <row r="4" spans="1:20" x14ac:dyDescent="0.25">
      <c r="A4" s="269" t="s">
        <v>231</v>
      </c>
      <c r="B4" s="269" t="s">
        <v>60</v>
      </c>
      <c r="C4" s="269" t="s">
        <v>72</v>
      </c>
      <c r="D4" s="269" t="s">
        <v>232</v>
      </c>
      <c r="E4" s="270" t="s">
        <v>22</v>
      </c>
      <c r="F4" s="271"/>
      <c r="G4" s="271"/>
      <c r="H4" s="271"/>
      <c r="I4" s="272"/>
      <c r="J4" s="265"/>
      <c r="K4" s="265"/>
      <c r="L4" s="265"/>
      <c r="M4" s="265"/>
      <c r="N4" s="265"/>
      <c r="O4" s="265"/>
      <c r="P4" s="265"/>
      <c r="Q4" s="265"/>
      <c r="R4" s="265"/>
      <c r="S4" s="265"/>
      <c r="T4" s="265"/>
    </row>
    <row r="8" spans="1:20" x14ac:dyDescent="0.25">
      <c r="B8" s="250" t="s">
        <v>288</v>
      </c>
      <c r="F8" s="252"/>
    </row>
    <row r="9" spans="1:20" x14ac:dyDescent="0.25">
      <c r="A9" s="250" t="s">
        <v>290</v>
      </c>
      <c r="B9" s="250">
        <f t="shared" ref="B9:B23" si="0">K19+3*$K$14</f>
        <v>246.47500000000002</v>
      </c>
      <c r="C9" s="250" t="s">
        <v>241</v>
      </c>
      <c r="D9" s="254"/>
      <c r="J9" s="250" t="s">
        <v>242</v>
      </c>
      <c r="K9" s="275">
        <v>12.0107</v>
      </c>
      <c r="L9" s="250" t="s">
        <v>241</v>
      </c>
    </row>
    <row r="10" spans="1:20" x14ac:dyDescent="0.25">
      <c r="A10" s="250" t="s">
        <v>291</v>
      </c>
      <c r="B10" s="250">
        <f t="shared" si="0"/>
        <v>245.26447000000002</v>
      </c>
      <c r="C10" s="250" t="s">
        <v>241</v>
      </c>
      <c r="D10" s="254"/>
      <c r="J10" s="250" t="s">
        <v>244</v>
      </c>
      <c r="K10" s="275">
        <v>15.9994</v>
      </c>
      <c r="L10" s="250" t="s">
        <v>241</v>
      </c>
    </row>
    <row r="11" spans="1:20" x14ac:dyDescent="0.25">
      <c r="A11" s="250" t="s">
        <v>293</v>
      </c>
      <c r="B11" s="250">
        <f t="shared" si="0"/>
        <v>247.26665</v>
      </c>
      <c r="C11" s="250" t="s">
        <v>241</v>
      </c>
      <c r="D11" s="254"/>
      <c r="J11" s="250" t="s">
        <v>246</v>
      </c>
      <c r="K11" s="275">
        <v>18.9984</v>
      </c>
      <c r="L11" s="250" t="s">
        <v>241</v>
      </c>
    </row>
    <row r="12" spans="1:20" x14ac:dyDescent="0.25">
      <c r="A12" s="250" t="s">
        <v>295</v>
      </c>
      <c r="B12" s="250">
        <f t="shared" si="0"/>
        <v>250.601</v>
      </c>
      <c r="C12" s="250" t="s">
        <v>241</v>
      </c>
      <c r="D12" s="254"/>
      <c r="J12" s="250" t="s">
        <v>248</v>
      </c>
      <c r="K12" s="275">
        <v>22.989768999999999</v>
      </c>
      <c r="L12" s="250" t="s">
        <v>241</v>
      </c>
    </row>
    <row r="13" spans="1:20" x14ac:dyDescent="0.25">
      <c r="A13" s="250" t="s">
        <v>297</v>
      </c>
      <c r="B13" s="250">
        <f t="shared" si="0"/>
        <v>256.71900000000005</v>
      </c>
      <c r="C13" s="250" t="s">
        <v>241</v>
      </c>
      <c r="D13" s="254"/>
      <c r="J13" s="250" t="s">
        <v>250</v>
      </c>
      <c r="K13" s="275">
        <v>1.0079400000000001</v>
      </c>
      <c r="L13" s="250" t="s">
        <v>241</v>
      </c>
    </row>
    <row r="14" spans="1:20" x14ac:dyDescent="0.25">
      <c r="A14" s="250" t="s">
        <v>299</v>
      </c>
      <c r="B14" s="250">
        <f t="shared" si="0"/>
        <v>258.32299999999998</v>
      </c>
      <c r="C14" s="250" t="s">
        <v>241</v>
      </c>
      <c r="D14" s="254"/>
      <c r="J14" s="250" t="s">
        <v>252</v>
      </c>
      <c r="K14" s="275">
        <v>35.453000000000003</v>
      </c>
      <c r="L14" s="250" t="s">
        <v>241</v>
      </c>
    </row>
    <row r="15" spans="1:20" x14ac:dyDescent="0.25">
      <c r="A15" s="250" t="s">
        <v>301</v>
      </c>
      <c r="B15" s="250">
        <f t="shared" si="0"/>
        <v>263.60900000000004</v>
      </c>
      <c r="C15" s="250" t="s">
        <v>241</v>
      </c>
      <c r="D15" s="254"/>
      <c r="J15" s="250" t="s">
        <v>254</v>
      </c>
      <c r="K15" s="275">
        <v>14.0067</v>
      </c>
      <c r="L15" s="250" t="s">
        <v>241</v>
      </c>
    </row>
    <row r="16" spans="1:20" x14ac:dyDescent="0.25">
      <c r="A16" s="250" t="s">
        <v>302</v>
      </c>
      <c r="B16" s="250">
        <f t="shared" si="0"/>
        <v>265.28435000000002</v>
      </c>
      <c r="C16" s="250" t="s">
        <v>241</v>
      </c>
      <c r="D16" s="254"/>
      <c r="J16" s="250" t="s">
        <v>256</v>
      </c>
      <c r="K16" s="275">
        <v>40.078000000000003</v>
      </c>
      <c r="L16" s="250" t="s">
        <v>241</v>
      </c>
    </row>
    <row r="17" spans="1:12" x14ac:dyDescent="0.25">
      <c r="A17" s="250" t="s">
        <v>303</v>
      </c>
      <c r="B17" s="250">
        <f t="shared" si="0"/>
        <v>268.85900000000004</v>
      </c>
      <c r="C17" s="250" t="s">
        <v>241</v>
      </c>
      <c r="D17" s="254"/>
      <c r="J17" s="250" t="s">
        <v>258</v>
      </c>
      <c r="K17" s="275">
        <v>34.997799999999998</v>
      </c>
      <c r="L17" s="250" t="s">
        <v>241</v>
      </c>
    </row>
    <row r="18" spans="1:12" x14ac:dyDescent="0.25">
      <c r="A18" s="250" t="s">
        <v>304</v>
      </c>
      <c r="B18" s="250">
        <f t="shared" si="0"/>
        <v>271.28931999999998</v>
      </c>
      <c r="C18" s="250" t="s">
        <v>241</v>
      </c>
      <c r="D18" s="254"/>
      <c r="J18" s="250" t="s">
        <v>260</v>
      </c>
      <c r="K18" s="275">
        <v>56.995199999999997</v>
      </c>
      <c r="L18" s="250" t="s">
        <v>241</v>
      </c>
    </row>
    <row r="19" spans="1:12" x14ac:dyDescent="0.25">
      <c r="A19" s="250" t="s">
        <v>305</v>
      </c>
      <c r="B19" s="250">
        <f t="shared" si="0"/>
        <v>273.61799999999999</v>
      </c>
      <c r="C19" s="250" t="s">
        <v>241</v>
      </c>
      <c r="D19" s="254"/>
      <c r="J19" s="250" t="s">
        <v>262</v>
      </c>
      <c r="K19" s="275">
        <v>140.11600000000001</v>
      </c>
      <c r="L19" s="250" t="s">
        <v>241</v>
      </c>
    </row>
    <row r="20" spans="1:12" x14ac:dyDescent="0.25">
      <c r="A20" s="250" t="s">
        <v>306</v>
      </c>
      <c r="B20" s="250">
        <f t="shared" si="0"/>
        <v>275.29321000000004</v>
      </c>
      <c r="C20" s="250" t="s">
        <v>241</v>
      </c>
      <c r="D20" s="254"/>
      <c r="J20" s="250" t="s">
        <v>264</v>
      </c>
      <c r="K20" s="250">
        <v>138.90547000000001</v>
      </c>
      <c r="L20" s="250" t="s">
        <v>241</v>
      </c>
    </row>
    <row r="21" spans="1:12" x14ac:dyDescent="0.25">
      <c r="A21" s="250" t="s">
        <v>307</v>
      </c>
      <c r="B21" s="250">
        <f t="shared" si="0"/>
        <v>279.399</v>
      </c>
      <c r="C21" s="250" t="s">
        <v>241</v>
      </c>
      <c r="D21" s="254"/>
      <c r="J21" s="250" t="s">
        <v>266</v>
      </c>
      <c r="K21" s="250">
        <v>140.90764999999999</v>
      </c>
      <c r="L21" s="250" t="s">
        <v>241</v>
      </c>
    </row>
    <row r="22" spans="1:12" x14ac:dyDescent="0.25">
      <c r="A22" s="250" t="s">
        <v>308</v>
      </c>
      <c r="B22" s="250">
        <f t="shared" si="0"/>
        <v>281.32600000000002</v>
      </c>
      <c r="C22" s="250" t="s">
        <v>241</v>
      </c>
      <c r="D22" s="254"/>
      <c r="J22" s="250" t="s">
        <v>268</v>
      </c>
      <c r="K22" s="250">
        <v>144.24199999999999</v>
      </c>
      <c r="L22" s="250" t="s">
        <v>241</v>
      </c>
    </row>
    <row r="23" spans="1:12" x14ac:dyDescent="0.25">
      <c r="A23" s="250" t="s">
        <v>309</v>
      </c>
      <c r="B23" s="250">
        <f t="shared" si="0"/>
        <v>195.26485000000002</v>
      </c>
      <c r="C23" s="250" t="s">
        <v>241</v>
      </c>
      <c r="D23" s="254"/>
      <c r="J23" s="250" t="s">
        <v>270</v>
      </c>
      <c r="K23" s="250">
        <v>150.36000000000001</v>
      </c>
      <c r="L23" s="250" t="s">
        <v>241</v>
      </c>
    </row>
    <row r="24" spans="1:12" x14ac:dyDescent="0.25">
      <c r="D24" s="274"/>
      <c r="J24" s="250" t="s">
        <v>271</v>
      </c>
      <c r="K24" s="250">
        <v>151.964</v>
      </c>
      <c r="L24" s="250" t="s">
        <v>241</v>
      </c>
    </row>
    <row r="25" spans="1:12" x14ac:dyDescent="0.25">
      <c r="J25" s="250" t="s">
        <v>272</v>
      </c>
      <c r="K25" s="250">
        <v>157.25</v>
      </c>
      <c r="L25" s="250" t="s">
        <v>241</v>
      </c>
    </row>
    <row r="26" spans="1:12" x14ac:dyDescent="0.25">
      <c r="D26" s="251" t="s">
        <v>312</v>
      </c>
      <c r="I26" s="255"/>
      <c r="J26" s="250" t="s">
        <v>273</v>
      </c>
      <c r="K26" s="250">
        <v>158.92535000000001</v>
      </c>
      <c r="L26" s="250" t="s">
        <v>241</v>
      </c>
    </row>
    <row r="27" spans="1:12" x14ac:dyDescent="0.25">
      <c r="A27" s="250" t="str">
        <f t="shared" ref="A27:A41" si="1">A9&amp;"∙6H₂O"</f>
        <v>CeCl₃∙6H₂O</v>
      </c>
      <c r="B27" s="250">
        <f>B9+6*$K$43</f>
        <v>354.56668000000002</v>
      </c>
      <c r="C27" s="250" t="s">
        <v>241</v>
      </c>
      <c r="D27" s="254">
        <f>1/(B27/Conversions!$D$6)</f>
        <v>2.8203439759201285</v>
      </c>
      <c r="E27" s="251" t="s">
        <v>274</v>
      </c>
      <c r="I27" s="255"/>
      <c r="J27" s="250" t="s">
        <v>275</v>
      </c>
      <c r="K27" s="250">
        <v>162.5</v>
      </c>
      <c r="L27" s="250" t="s">
        <v>241</v>
      </c>
    </row>
    <row r="28" spans="1:12" x14ac:dyDescent="0.25">
      <c r="A28" s="250" t="str">
        <f t="shared" si="1"/>
        <v>LaCl₃∙6H₂O</v>
      </c>
      <c r="B28" s="250">
        <f t="shared" ref="B28:B41" si="2">B10+6*$K$43</f>
        <v>353.35615000000001</v>
      </c>
      <c r="C28" s="250" t="s">
        <v>241</v>
      </c>
      <c r="D28" s="254">
        <f>1/(B28/Conversions!$D$6)</f>
        <v>2.8300059302774265</v>
      </c>
      <c r="E28" s="251" t="s">
        <v>274</v>
      </c>
      <c r="I28" s="255"/>
      <c r="J28" s="250" t="s">
        <v>276</v>
      </c>
      <c r="K28" s="250">
        <v>164.93031999999999</v>
      </c>
      <c r="L28" s="250" t="s">
        <v>241</v>
      </c>
    </row>
    <row r="29" spans="1:12" x14ac:dyDescent="0.25">
      <c r="A29" s="250" t="str">
        <f t="shared" si="1"/>
        <v>PrCl₃∙6H₂O</v>
      </c>
      <c r="B29" s="250">
        <f t="shared" si="2"/>
        <v>355.35833000000002</v>
      </c>
      <c r="C29" s="250" t="s">
        <v>241</v>
      </c>
      <c r="D29" s="254">
        <f>1/(B29/Conversions!$D$6)</f>
        <v>2.814060950815477</v>
      </c>
      <c r="E29" s="251" t="s">
        <v>274</v>
      </c>
      <c r="I29" s="255"/>
      <c r="J29" s="250" t="s">
        <v>277</v>
      </c>
      <c r="K29" s="250">
        <v>167.25899999999999</v>
      </c>
      <c r="L29" s="250" t="s">
        <v>241</v>
      </c>
    </row>
    <row r="30" spans="1:12" x14ac:dyDescent="0.25">
      <c r="A30" s="250" t="str">
        <f t="shared" si="1"/>
        <v>NdCl₃∙6H₂O</v>
      </c>
      <c r="B30" s="250">
        <f t="shared" si="2"/>
        <v>358.69268</v>
      </c>
      <c r="C30" s="250" t="s">
        <v>241</v>
      </c>
      <c r="D30" s="254">
        <f>1/(B30/Conversions!$D$6)</f>
        <v>2.7879018886028009</v>
      </c>
      <c r="E30" s="251" t="s">
        <v>274</v>
      </c>
      <c r="I30" s="255"/>
      <c r="J30" s="250" t="s">
        <v>278</v>
      </c>
      <c r="K30" s="250">
        <v>168.93421000000001</v>
      </c>
      <c r="L30" s="250" t="s">
        <v>241</v>
      </c>
    </row>
    <row r="31" spans="1:12" x14ac:dyDescent="0.25">
      <c r="A31" s="250" t="str">
        <f t="shared" si="1"/>
        <v>SmCl₃∙6H₂O</v>
      </c>
      <c r="B31" s="250">
        <f t="shared" si="2"/>
        <v>364.81068000000005</v>
      </c>
      <c r="C31" s="250" t="s">
        <v>241</v>
      </c>
      <c r="D31" s="254">
        <f>1/(B31/Conversions!$D$6)</f>
        <v>2.7411478194662497</v>
      </c>
      <c r="E31" s="251" t="s">
        <v>274</v>
      </c>
      <c r="I31" s="255"/>
      <c r="J31" s="250" t="s">
        <v>279</v>
      </c>
      <c r="K31" s="250">
        <v>173.04</v>
      </c>
      <c r="L31" s="250" t="s">
        <v>241</v>
      </c>
    </row>
    <row r="32" spans="1:12" x14ac:dyDescent="0.25">
      <c r="A32" s="250" t="str">
        <f t="shared" si="1"/>
        <v>EuCl₃∙6H₂O</v>
      </c>
      <c r="B32" s="250">
        <f t="shared" si="2"/>
        <v>366.41467999999998</v>
      </c>
      <c r="C32" s="250" t="s">
        <v>241</v>
      </c>
      <c r="D32" s="254">
        <f>1/(B32/Conversions!$D$6)</f>
        <v>2.7291482972243362</v>
      </c>
      <c r="E32" s="251" t="s">
        <v>274</v>
      </c>
      <c r="I32" s="255"/>
      <c r="J32" s="250" t="s">
        <v>280</v>
      </c>
      <c r="K32" s="250">
        <v>174.96700000000001</v>
      </c>
      <c r="L32" s="250" t="s">
        <v>241</v>
      </c>
    </row>
    <row r="33" spans="1:20" x14ac:dyDescent="0.25">
      <c r="A33" s="250" t="str">
        <f t="shared" si="1"/>
        <v>GdCl₃∙6H₂O</v>
      </c>
      <c r="B33" s="250">
        <f t="shared" si="2"/>
        <v>371.70068000000003</v>
      </c>
      <c r="C33" s="250" t="s">
        <v>241</v>
      </c>
      <c r="D33" s="254">
        <f>1/(B33/Conversions!$D$6)</f>
        <v>2.6903367516034673</v>
      </c>
      <c r="E33" s="251" t="s">
        <v>274</v>
      </c>
      <c r="I33" s="255"/>
      <c r="J33" s="250" t="s">
        <v>281</v>
      </c>
      <c r="K33" s="250">
        <v>88.905850000000001</v>
      </c>
      <c r="L33" s="250" t="s">
        <v>241</v>
      </c>
    </row>
    <row r="34" spans="1:20" x14ac:dyDescent="0.25">
      <c r="A34" s="250" t="str">
        <f t="shared" si="1"/>
        <v>TbCl₃∙6H₂O</v>
      </c>
      <c r="B34" s="250">
        <f t="shared" si="2"/>
        <v>373.37603000000001</v>
      </c>
      <c r="C34" s="250" t="s">
        <v>241</v>
      </c>
      <c r="D34" s="254">
        <f>1/(B34/Conversions!$D$6)</f>
        <v>2.678265125910734</v>
      </c>
      <c r="E34" s="251" t="s">
        <v>274</v>
      </c>
      <c r="I34" s="255"/>
      <c r="J34" s="250" t="s">
        <v>282</v>
      </c>
      <c r="K34" s="250">
        <v>32.064999999999998</v>
      </c>
      <c r="L34" s="250" t="s">
        <v>241</v>
      </c>
    </row>
    <row r="35" spans="1:20" x14ac:dyDescent="0.25">
      <c r="A35" s="250" t="str">
        <f t="shared" si="1"/>
        <v>DyCl₃∙6H₂O</v>
      </c>
      <c r="B35" s="250">
        <f t="shared" si="2"/>
        <v>376.95068000000003</v>
      </c>
      <c r="C35" s="250" t="s">
        <v>241</v>
      </c>
      <c r="D35" s="254">
        <f>1/(B35/Conversions!$D$6)</f>
        <v>2.6528669480049749</v>
      </c>
      <c r="E35" s="251" t="s">
        <v>274</v>
      </c>
      <c r="I35" s="255"/>
      <c r="J35" s="250" t="s">
        <v>283</v>
      </c>
      <c r="K35" s="250">
        <v>30.973762000000001</v>
      </c>
      <c r="L35" s="250" t="s">
        <v>241</v>
      </c>
    </row>
    <row r="36" spans="1:20" x14ac:dyDescent="0.25">
      <c r="A36" s="250" t="str">
        <f t="shared" si="1"/>
        <v>HoCl₃∙6H₂O</v>
      </c>
      <c r="B36" s="250">
        <f t="shared" si="2"/>
        <v>379.38099999999997</v>
      </c>
      <c r="C36" s="250" t="s">
        <v>241</v>
      </c>
      <c r="D36" s="254">
        <f>1/(B36/Conversions!$D$6)</f>
        <v>2.635872645177276</v>
      </c>
      <c r="E36" s="251" t="s">
        <v>274</v>
      </c>
      <c r="I36" s="255"/>
      <c r="J36" s="250" t="s">
        <v>284</v>
      </c>
      <c r="K36" s="250">
        <f>K11+K9+3*K10</f>
        <v>79.007300000000001</v>
      </c>
      <c r="L36" s="250" t="s">
        <v>241</v>
      </c>
    </row>
    <row r="37" spans="1:20" x14ac:dyDescent="0.25">
      <c r="A37" s="250" t="str">
        <f t="shared" si="1"/>
        <v>ErCl₃∙6H₂O</v>
      </c>
      <c r="B37" s="250">
        <f t="shared" si="2"/>
        <v>381.70967999999999</v>
      </c>
      <c r="C37" s="250" t="s">
        <v>241</v>
      </c>
      <c r="D37" s="254">
        <f>1/(B37/Conversions!$D$6)</f>
        <v>2.6197920891081412</v>
      </c>
      <c r="E37" s="251" t="s">
        <v>274</v>
      </c>
      <c r="I37" s="255"/>
    </row>
    <row r="38" spans="1:20" x14ac:dyDescent="0.25">
      <c r="A38" s="250" t="str">
        <f t="shared" si="1"/>
        <v>TmCl₃∙6H₂O</v>
      </c>
      <c r="B38" s="250">
        <f t="shared" si="2"/>
        <v>383.38489000000004</v>
      </c>
      <c r="C38" s="250" t="s">
        <v>241</v>
      </c>
      <c r="D38" s="254">
        <f>1/(B38/Conversions!$D$6)</f>
        <v>2.6083448411334103</v>
      </c>
      <c r="E38" s="251" t="s">
        <v>274</v>
      </c>
      <c r="I38" s="255"/>
      <c r="J38" s="250" t="s">
        <v>285</v>
      </c>
      <c r="K38" s="256">
        <f>2*K13+4*K10+K34</f>
        <v>98.078479999999999</v>
      </c>
      <c r="L38" s="250" t="s">
        <v>241</v>
      </c>
      <c r="M38" s="256">
        <f t="shared" ref="M38:M46" si="3">K38/1000</f>
        <v>9.8078479999999996E-2</v>
      </c>
      <c r="N38" s="250" t="s">
        <v>286</v>
      </c>
    </row>
    <row r="39" spans="1:20" x14ac:dyDescent="0.25">
      <c r="A39" s="250" t="str">
        <f t="shared" si="1"/>
        <v>YbCl₃∙6H₂O</v>
      </c>
      <c r="B39" s="250">
        <f t="shared" si="2"/>
        <v>387.49068</v>
      </c>
      <c r="C39" s="250" t="s">
        <v>241</v>
      </c>
      <c r="D39" s="254">
        <f>1/(B39/Conversions!$D$6)</f>
        <v>2.5807072314616706</v>
      </c>
      <c r="E39" s="251" t="s">
        <v>274</v>
      </c>
      <c r="I39" s="255"/>
      <c r="J39" s="250" t="s">
        <v>287</v>
      </c>
      <c r="K39" s="256">
        <f>K12+K10+K13</f>
        <v>39.997108999999995</v>
      </c>
      <c r="L39" s="250" t="s">
        <v>241</v>
      </c>
      <c r="M39" s="256">
        <f t="shared" si="3"/>
        <v>3.9997108999999996E-2</v>
      </c>
      <c r="N39" s="250" t="s">
        <v>286</v>
      </c>
    </row>
    <row r="40" spans="1:20" x14ac:dyDescent="0.25">
      <c r="A40" s="250" t="str">
        <f t="shared" si="1"/>
        <v>LuCl₃∙6H₂O</v>
      </c>
      <c r="B40" s="250">
        <f t="shared" si="2"/>
        <v>389.41768000000002</v>
      </c>
      <c r="C40" s="250" t="s">
        <v>241</v>
      </c>
      <c r="D40" s="254">
        <f>1/(B40/Conversions!$D$6)</f>
        <v>2.5679368230019755</v>
      </c>
      <c r="E40" s="251" t="s">
        <v>274</v>
      </c>
      <c r="F40" s="254"/>
      <c r="I40" s="255"/>
      <c r="J40" s="250" t="s">
        <v>289</v>
      </c>
      <c r="K40" s="250">
        <f>K9+2*K10</f>
        <v>44.009500000000003</v>
      </c>
      <c r="L40" s="250" t="s">
        <v>241</v>
      </c>
      <c r="M40" s="256">
        <f t="shared" si="3"/>
        <v>4.40095E-2</v>
      </c>
      <c r="N40" s="250" t="s">
        <v>286</v>
      </c>
    </row>
    <row r="41" spans="1:20" x14ac:dyDescent="0.25">
      <c r="A41" s="250" t="str">
        <f t="shared" si="1"/>
        <v>YCl₃∙6H₂O</v>
      </c>
      <c r="B41" s="250">
        <f t="shared" si="2"/>
        <v>303.35653000000002</v>
      </c>
      <c r="C41" s="250" t="s">
        <v>241</v>
      </c>
      <c r="D41" s="254">
        <f>1/(B41/Conversions!$D$6)</f>
        <v>3.2964512087476736</v>
      </c>
      <c r="E41" s="251" t="s">
        <v>274</v>
      </c>
      <c r="F41" s="254"/>
      <c r="J41" s="250" t="s">
        <v>260</v>
      </c>
      <c r="K41" s="250">
        <f>3*K11</f>
        <v>56.995199999999997</v>
      </c>
      <c r="L41" s="250" t="s">
        <v>241</v>
      </c>
      <c r="M41" s="256">
        <f t="shared" si="3"/>
        <v>5.6995199999999996E-2</v>
      </c>
      <c r="N41" s="250" t="s">
        <v>286</v>
      </c>
    </row>
    <row r="42" spans="1:20" x14ac:dyDescent="0.25">
      <c r="C42" s="273"/>
      <c r="D42" s="274"/>
      <c r="F42" s="254"/>
      <c r="J42" s="250" t="s">
        <v>292</v>
      </c>
      <c r="K42" s="256">
        <f>K13+K14</f>
        <v>36.460940000000001</v>
      </c>
      <c r="L42" s="250" t="s">
        <v>241</v>
      </c>
      <c r="M42" s="256">
        <f t="shared" si="3"/>
        <v>3.6460940000000004E-2</v>
      </c>
      <c r="N42" s="250" t="s">
        <v>286</v>
      </c>
      <c r="P42" s="275"/>
      <c r="Q42" s="275"/>
      <c r="R42" s="275"/>
      <c r="S42" s="275"/>
      <c r="T42" s="275"/>
    </row>
    <row r="43" spans="1:20" x14ac:dyDescent="0.25">
      <c r="A43" s="250" t="s">
        <v>310</v>
      </c>
      <c r="F43" s="254"/>
      <c r="J43" s="250" t="s">
        <v>294</v>
      </c>
      <c r="K43" s="250">
        <f>2*K13+K10</f>
        <v>18.015280000000001</v>
      </c>
      <c r="L43" s="250" t="s">
        <v>241</v>
      </c>
      <c r="M43" s="256">
        <f t="shared" si="3"/>
        <v>1.8015280000000002E-2</v>
      </c>
      <c r="N43" s="250" t="s">
        <v>286</v>
      </c>
      <c r="P43" s="276"/>
      <c r="Q43" s="275"/>
      <c r="R43" s="275"/>
      <c r="S43" s="275"/>
      <c r="T43" s="275"/>
    </row>
    <row r="44" spans="1:20" x14ac:dyDescent="0.25">
      <c r="A44" s="250" t="s">
        <v>311</v>
      </c>
      <c r="C44" s="251" t="s">
        <v>490</v>
      </c>
      <c r="F44" s="254"/>
      <c r="J44" s="250" t="s">
        <v>296</v>
      </c>
      <c r="K44" s="250">
        <f>3*K13+1*K35+4*K10</f>
        <v>97.995182</v>
      </c>
      <c r="L44" s="250" t="s">
        <v>241</v>
      </c>
      <c r="M44" s="256">
        <f t="shared" si="3"/>
        <v>9.7995182E-2</v>
      </c>
      <c r="N44" s="250" t="s">
        <v>286</v>
      </c>
      <c r="P44" s="276"/>
      <c r="Q44" s="275"/>
      <c r="R44" s="275"/>
      <c r="S44" s="275"/>
      <c r="T44" s="275"/>
    </row>
    <row r="45" spans="1:20" x14ac:dyDescent="0.25">
      <c r="F45" s="254"/>
      <c r="J45" s="250" t="s">
        <v>298</v>
      </c>
      <c r="K45" s="250">
        <f>3*K12+K35+4*K10</f>
        <v>163.94066900000001</v>
      </c>
      <c r="L45" s="250" t="s">
        <v>241</v>
      </c>
      <c r="M45" s="256">
        <f t="shared" si="3"/>
        <v>0.16394066900000001</v>
      </c>
      <c r="N45" s="250" t="s">
        <v>286</v>
      </c>
      <c r="P45" s="276"/>
      <c r="Q45" s="275"/>
      <c r="R45" s="275"/>
      <c r="S45" s="275"/>
      <c r="T45" s="275"/>
    </row>
    <row r="46" spans="1:20" x14ac:dyDescent="0.25">
      <c r="D46" s="251" t="s">
        <v>337</v>
      </c>
      <c r="E46" s="251" t="s">
        <v>331</v>
      </c>
      <c r="F46" s="279" t="s">
        <v>323</v>
      </c>
      <c r="G46" s="279" t="s">
        <v>335</v>
      </c>
      <c r="J46" s="250" t="s">
        <v>300</v>
      </c>
      <c r="K46" s="250">
        <f>K13+K11</f>
        <v>20.006340000000002</v>
      </c>
      <c r="L46" s="250" t="s">
        <v>241</v>
      </c>
      <c r="M46" s="256">
        <f t="shared" si="3"/>
        <v>2.0006340000000001E-2</v>
      </c>
      <c r="N46" s="250" t="s">
        <v>286</v>
      </c>
      <c r="P46" s="276"/>
      <c r="Q46" s="275"/>
      <c r="R46" s="275"/>
      <c r="S46" s="275"/>
      <c r="T46" s="275"/>
    </row>
    <row r="47" spans="1:20" x14ac:dyDescent="0.25">
      <c r="A47" s="250" t="str">
        <f t="shared" ref="A47:A61" si="4">J19&amp;"₂(C₂O₄)₃∙10H₂O"</f>
        <v>Ce₂(C₂O₄)₃∙10H₂O</v>
      </c>
      <c r="B47" s="250">
        <f t="shared" ref="B47:B61" si="5">2*K19+3*(2*$K$9+4*$K$10)+10*($K$43)</f>
        <v>724.44180000000006</v>
      </c>
      <c r="C47" s="250" t="s">
        <v>241</v>
      </c>
      <c r="D47" s="254">
        <f>D27/2</f>
        <v>1.4101719879600643</v>
      </c>
      <c r="E47" s="254">
        <f>D27/2*3</f>
        <v>4.230515963880193</v>
      </c>
      <c r="F47" s="250">
        <f>(D27/2)*4</f>
        <v>5.6406879518402571</v>
      </c>
      <c r="G47" s="250">
        <f>(D27/2)*6</f>
        <v>8.461031927760386</v>
      </c>
      <c r="J47" s="279" t="s">
        <v>333</v>
      </c>
      <c r="K47" s="250">
        <f>2*K13+2*K9+4*K10</f>
        <v>90.034880000000001</v>
      </c>
      <c r="L47" s="250" t="s">
        <v>241</v>
      </c>
      <c r="M47" s="256">
        <f t="shared" ref="M47" si="6">K47/1000</f>
        <v>9.0034879999999998E-2</v>
      </c>
      <c r="N47" s="250" t="s">
        <v>286</v>
      </c>
      <c r="P47" s="276"/>
      <c r="Q47" s="275"/>
      <c r="R47" s="275"/>
      <c r="S47" s="275"/>
      <c r="T47" s="275"/>
    </row>
    <row r="48" spans="1:20" x14ac:dyDescent="0.25">
      <c r="A48" s="250" t="str">
        <f t="shared" si="4"/>
        <v>La₂(C₂O₄)₃∙10H₂O</v>
      </c>
      <c r="B48" s="250">
        <f t="shared" si="5"/>
        <v>722.02074000000016</v>
      </c>
      <c r="C48" s="250" t="s">
        <v>241</v>
      </c>
      <c r="D48" s="254">
        <f t="shared" ref="D48:D61" si="7">D28/2</f>
        <v>1.4150029651387133</v>
      </c>
      <c r="E48" s="254">
        <f t="shared" ref="E48:E61" si="8">D28/2*3</f>
        <v>4.2450088954161398</v>
      </c>
      <c r="F48" s="250">
        <f t="shared" ref="F48:F61" si="9">(D28/2)*4</f>
        <v>5.6600118605548531</v>
      </c>
      <c r="G48" s="250">
        <f t="shared" ref="G48:G61" si="10">(D28/2)*6</f>
        <v>8.4900177908322796</v>
      </c>
      <c r="J48" s="279"/>
      <c r="L48" s="251"/>
      <c r="P48" s="276"/>
      <c r="Q48" s="275"/>
      <c r="R48" s="275"/>
      <c r="S48" s="275"/>
      <c r="T48" s="275"/>
    </row>
    <row r="49" spans="1:20" x14ac:dyDescent="0.25">
      <c r="A49" s="250" t="str">
        <f t="shared" si="4"/>
        <v>Pr₂(C₂O₄)₃∙10H₂O</v>
      </c>
      <c r="B49" s="250">
        <f t="shared" si="5"/>
        <v>726.02510000000007</v>
      </c>
      <c r="C49" s="250" t="s">
        <v>241</v>
      </c>
      <c r="D49" s="254">
        <f t="shared" si="7"/>
        <v>1.4070304754077385</v>
      </c>
      <c r="E49" s="254">
        <f t="shared" si="8"/>
        <v>4.2210914262232153</v>
      </c>
      <c r="F49" s="250">
        <f t="shared" si="9"/>
        <v>5.628121901630954</v>
      </c>
      <c r="G49" s="250">
        <f t="shared" si="10"/>
        <v>8.4421828524464306</v>
      </c>
      <c r="P49" s="276"/>
      <c r="Q49" s="275"/>
      <c r="R49" s="275"/>
      <c r="S49" s="275"/>
      <c r="T49" s="275"/>
    </row>
    <row r="50" spans="1:20" x14ac:dyDescent="0.25">
      <c r="A50" s="250" t="str">
        <f t="shared" si="4"/>
        <v>Nd₂(C₂O₄)₃∙10H₂O</v>
      </c>
      <c r="B50" s="250">
        <f t="shared" si="5"/>
        <v>732.69380000000001</v>
      </c>
      <c r="C50" s="250" t="s">
        <v>241</v>
      </c>
      <c r="D50" s="254">
        <f t="shared" si="7"/>
        <v>1.3939509443014004</v>
      </c>
      <c r="E50" s="254">
        <f t="shared" si="8"/>
        <v>4.1818528329042017</v>
      </c>
      <c r="F50" s="250">
        <f t="shared" si="9"/>
        <v>5.5758037772056017</v>
      </c>
      <c r="G50" s="250">
        <f t="shared" si="10"/>
        <v>8.3637056658084035</v>
      </c>
      <c r="I50" s="281"/>
      <c r="L50" s="251"/>
      <c r="O50" s="251"/>
      <c r="P50" s="276"/>
      <c r="Q50" s="275"/>
      <c r="R50" s="275"/>
      <c r="S50" s="275"/>
      <c r="T50" s="275"/>
    </row>
    <row r="51" spans="1:20" x14ac:dyDescent="0.25">
      <c r="A51" s="250" t="str">
        <f t="shared" si="4"/>
        <v>Sm₂(C₂O₄)₃∙10H₂O</v>
      </c>
      <c r="B51" s="250">
        <f t="shared" si="5"/>
        <v>744.92980000000011</v>
      </c>
      <c r="C51" s="250" t="s">
        <v>241</v>
      </c>
      <c r="D51" s="254">
        <f t="shared" si="7"/>
        <v>1.3705739097331249</v>
      </c>
      <c r="E51" s="254">
        <f t="shared" si="8"/>
        <v>4.1117217291993748</v>
      </c>
      <c r="F51" s="250">
        <f t="shared" si="9"/>
        <v>5.4822956389324995</v>
      </c>
      <c r="G51" s="250">
        <f t="shared" si="10"/>
        <v>8.2234434583987497</v>
      </c>
      <c r="I51" s="281"/>
      <c r="L51" s="251"/>
      <c r="O51" s="251"/>
      <c r="P51" s="276"/>
      <c r="Q51" s="275"/>
      <c r="R51" s="275"/>
      <c r="S51" s="275"/>
      <c r="T51" s="275"/>
    </row>
    <row r="52" spans="1:20" x14ac:dyDescent="0.25">
      <c r="A52" s="250" t="str">
        <f t="shared" si="4"/>
        <v>Eu₂(C₂O₄)₃∙10H₂O</v>
      </c>
      <c r="B52" s="250">
        <f t="shared" si="5"/>
        <v>748.13779999999997</v>
      </c>
      <c r="C52" s="250" t="s">
        <v>241</v>
      </c>
      <c r="D52" s="254">
        <f t="shared" si="7"/>
        <v>1.3645741486121681</v>
      </c>
      <c r="E52" s="254">
        <f t="shared" si="8"/>
        <v>4.0937224458365042</v>
      </c>
      <c r="F52" s="250">
        <f t="shared" si="9"/>
        <v>5.4582965944486723</v>
      </c>
      <c r="G52" s="250">
        <f t="shared" si="10"/>
        <v>8.1874448916730085</v>
      </c>
      <c r="I52" s="281"/>
      <c r="L52" s="251"/>
      <c r="O52" s="251"/>
      <c r="P52" s="276"/>
      <c r="Q52" s="275"/>
      <c r="R52" s="275"/>
      <c r="S52" s="275"/>
      <c r="T52" s="275"/>
    </row>
    <row r="53" spans="1:20" x14ac:dyDescent="0.25">
      <c r="A53" s="250" t="str">
        <f t="shared" si="4"/>
        <v>Gd₂(C₂O₄)₃∙10H₂O</v>
      </c>
      <c r="B53" s="250">
        <f t="shared" si="5"/>
        <v>758.70980000000009</v>
      </c>
      <c r="C53" s="250" t="s">
        <v>241</v>
      </c>
      <c r="D53" s="254">
        <f t="shared" si="7"/>
        <v>1.3451683758017337</v>
      </c>
      <c r="E53" s="254">
        <f t="shared" si="8"/>
        <v>4.0355051274052007</v>
      </c>
      <c r="F53" s="250">
        <f t="shared" si="9"/>
        <v>5.3806735032069346</v>
      </c>
      <c r="G53" s="250">
        <f t="shared" si="10"/>
        <v>8.0710102548104015</v>
      </c>
      <c r="I53" s="281"/>
      <c r="L53" s="251"/>
      <c r="O53" s="251"/>
      <c r="P53" s="276"/>
      <c r="Q53" s="275"/>
      <c r="R53" s="275"/>
      <c r="S53" s="275"/>
      <c r="T53" s="275"/>
    </row>
    <row r="54" spans="1:20" x14ac:dyDescent="0.25">
      <c r="A54" s="250" t="str">
        <f t="shared" si="4"/>
        <v>Tb₂(C₂O₄)₃∙10H₂O</v>
      </c>
      <c r="B54" s="250">
        <f t="shared" si="5"/>
        <v>762.06050000000005</v>
      </c>
      <c r="C54" s="250" t="s">
        <v>241</v>
      </c>
      <c r="D54" s="254">
        <f t="shared" si="7"/>
        <v>1.339132562955367</v>
      </c>
      <c r="E54" s="254">
        <f t="shared" si="8"/>
        <v>4.0173976888661009</v>
      </c>
      <c r="F54" s="250">
        <f t="shared" si="9"/>
        <v>5.3565302518214679</v>
      </c>
      <c r="G54" s="250">
        <f t="shared" si="10"/>
        <v>8.0347953777322019</v>
      </c>
      <c r="I54" s="281"/>
      <c r="L54" s="251"/>
      <c r="O54" s="251"/>
      <c r="P54" s="276"/>
      <c r="Q54" s="275"/>
      <c r="R54" s="275"/>
      <c r="S54" s="275"/>
      <c r="T54" s="275"/>
    </row>
    <row r="55" spans="1:20" x14ac:dyDescent="0.25">
      <c r="A55" s="250" t="str">
        <f t="shared" si="4"/>
        <v>Dy₂(C₂O₄)₃∙10H₂O</v>
      </c>
      <c r="B55" s="250">
        <f t="shared" si="5"/>
        <v>769.20980000000009</v>
      </c>
      <c r="C55" s="250" t="s">
        <v>241</v>
      </c>
      <c r="D55" s="254">
        <f t="shared" si="7"/>
        <v>1.3264334740024875</v>
      </c>
      <c r="E55" s="254">
        <f t="shared" si="8"/>
        <v>3.9793004220074621</v>
      </c>
      <c r="F55" s="250">
        <f t="shared" si="9"/>
        <v>5.3057338960099498</v>
      </c>
      <c r="G55" s="250">
        <f t="shared" si="10"/>
        <v>7.9586008440149243</v>
      </c>
      <c r="I55" s="281"/>
      <c r="L55" s="251"/>
      <c r="O55" s="251"/>
      <c r="P55" s="276"/>
      <c r="Q55" s="275"/>
      <c r="R55" s="275"/>
      <c r="S55" s="275"/>
      <c r="T55" s="275"/>
    </row>
    <row r="56" spans="1:20" x14ac:dyDescent="0.25">
      <c r="A56" s="250" t="str">
        <f t="shared" si="4"/>
        <v>Ho₂(C₂O₄)₃∙10H₂O</v>
      </c>
      <c r="B56" s="250">
        <f t="shared" si="5"/>
        <v>774.07043999999996</v>
      </c>
      <c r="C56" s="250" t="s">
        <v>241</v>
      </c>
      <c r="D56" s="254">
        <f t="shared" si="7"/>
        <v>1.317936322588638</v>
      </c>
      <c r="E56" s="254">
        <f t="shared" si="8"/>
        <v>3.9538089677659141</v>
      </c>
      <c r="F56" s="250">
        <f t="shared" si="9"/>
        <v>5.2717452903545521</v>
      </c>
      <c r="G56" s="250">
        <f t="shared" si="10"/>
        <v>7.9076179355318281</v>
      </c>
      <c r="I56" s="281"/>
      <c r="L56" s="251"/>
      <c r="O56" s="251"/>
      <c r="P56" s="276"/>
      <c r="Q56" s="275"/>
      <c r="R56" s="275"/>
      <c r="S56" s="275"/>
      <c r="T56" s="275"/>
    </row>
    <row r="57" spans="1:20" x14ac:dyDescent="0.25">
      <c r="A57" s="250" t="str">
        <f t="shared" si="4"/>
        <v>Er₂(C₂O₄)₃∙10H₂O</v>
      </c>
      <c r="B57" s="250">
        <f t="shared" si="5"/>
        <v>778.72780000000012</v>
      </c>
      <c r="C57" s="250" t="s">
        <v>241</v>
      </c>
      <c r="D57" s="254">
        <f t="shared" si="7"/>
        <v>1.3098960445540706</v>
      </c>
      <c r="E57" s="254">
        <f t="shared" si="8"/>
        <v>3.9296881336622116</v>
      </c>
      <c r="F57" s="250">
        <f t="shared" si="9"/>
        <v>5.2395841782162824</v>
      </c>
      <c r="G57" s="250">
        <f t="shared" si="10"/>
        <v>7.8593762673244232</v>
      </c>
      <c r="I57" s="281"/>
      <c r="L57" s="251"/>
      <c r="O57" s="251"/>
      <c r="P57" s="276"/>
      <c r="Q57" s="275"/>
      <c r="R57" s="275"/>
      <c r="S57" s="275"/>
      <c r="T57" s="275"/>
    </row>
    <row r="58" spans="1:20" x14ac:dyDescent="0.25">
      <c r="A58" s="250" t="str">
        <f t="shared" si="4"/>
        <v>Tm₂(C₂O₄)₃∙10H₂O</v>
      </c>
      <c r="B58" s="250">
        <f t="shared" si="5"/>
        <v>782.0782200000001</v>
      </c>
      <c r="C58" s="250" t="s">
        <v>241</v>
      </c>
      <c r="D58" s="254">
        <f t="shared" si="7"/>
        <v>1.3041724205667051</v>
      </c>
      <c r="E58" s="254">
        <f t="shared" si="8"/>
        <v>3.9125172617001152</v>
      </c>
      <c r="F58" s="250">
        <f t="shared" si="9"/>
        <v>5.2166896822668205</v>
      </c>
      <c r="G58" s="250">
        <f t="shared" si="10"/>
        <v>7.8250345234002303</v>
      </c>
      <c r="I58" s="281"/>
      <c r="L58" s="251"/>
      <c r="O58" s="251"/>
      <c r="P58" s="276"/>
      <c r="Q58" s="275"/>
      <c r="R58" s="275"/>
      <c r="S58" s="275"/>
      <c r="T58" s="275"/>
    </row>
    <row r="59" spans="1:20" x14ac:dyDescent="0.25">
      <c r="A59" s="250" t="str">
        <f t="shared" si="4"/>
        <v>Yb₂(C₂O₄)₃∙10H₂O</v>
      </c>
      <c r="B59" s="250">
        <f t="shared" si="5"/>
        <v>790.28980000000001</v>
      </c>
      <c r="C59" s="250" t="s">
        <v>241</v>
      </c>
      <c r="D59" s="254">
        <f t="shared" si="7"/>
        <v>1.2903536157308353</v>
      </c>
      <c r="E59" s="254">
        <f t="shared" si="8"/>
        <v>3.8710608471925059</v>
      </c>
      <c r="F59" s="250">
        <f t="shared" si="9"/>
        <v>5.1614144629233412</v>
      </c>
      <c r="G59" s="250">
        <f t="shared" si="10"/>
        <v>7.7421216943850117</v>
      </c>
      <c r="I59" s="281"/>
      <c r="L59" s="251"/>
      <c r="O59" s="251"/>
      <c r="P59" s="276"/>
      <c r="Q59" s="275"/>
      <c r="R59" s="275"/>
      <c r="S59" s="275"/>
      <c r="T59" s="275"/>
    </row>
    <row r="60" spans="1:20" x14ac:dyDescent="0.25">
      <c r="A60" s="250" t="str">
        <f t="shared" si="4"/>
        <v>Lu₂(C₂O₄)₃∙10H₂O</v>
      </c>
      <c r="B60" s="250">
        <f t="shared" si="5"/>
        <v>794.14380000000006</v>
      </c>
      <c r="C60" s="250" t="s">
        <v>241</v>
      </c>
      <c r="D60" s="254">
        <f t="shared" si="7"/>
        <v>1.2839684115009877</v>
      </c>
      <c r="E60" s="254">
        <f t="shared" si="8"/>
        <v>3.8519052345029632</v>
      </c>
      <c r="F60" s="250">
        <f t="shared" si="9"/>
        <v>5.1358736460039509</v>
      </c>
      <c r="G60" s="250">
        <f t="shared" si="10"/>
        <v>7.7038104690059264</v>
      </c>
      <c r="I60" s="281"/>
      <c r="L60" s="251"/>
      <c r="O60" s="251"/>
    </row>
    <row r="61" spans="1:20" x14ac:dyDescent="0.25">
      <c r="A61" s="250" t="str">
        <f t="shared" si="4"/>
        <v>Y₂(C₂O₄)₃∙10H₂O</v>
      </c>
      <c r="B61" s="250">
        <f t="shared" si="5"/>
        <v>622.02150000000006</v>
      </c>
      <c r="C61" s="250" t="s">
        <v>241</v>
      </c>
      <c r="D61" s="254">
        <f t="shared" si="7"/>
        <v>1.6482256043738368</v>
      </c>
      <c r="E61" s="254">
        <f t="shared" si="8"/>
        <v>4.9446768131215109</v>
      </c>
      <c r="F61" s="250">
        <f t="shared" si="9"/>
        <v>6.5929024174953472</v>
      </c>
      <c r="G61" s="250">
        <f t="shared" si="10"/>
        <v>9.8893536262430217</v>
      </c>
      <c r="I61" s="281"/>
      <c r="L61" s="251"/>
      <c r="O61" s="251"/>
    </row>
    <row r="62" spans="1:20" x14ac:dyDescent="0.25">
      <c r="F62" s="254"/>
      <c r="I62" s="281"/>
      <c r="L62" s="251"/>
      <c r="O62" s="251"/>
    </row>
    <row r="63" spans="1:20" x14ac:dyDescent="0.25">
      <c r="D63" s="251" t="s">
        <v>338</v>
      </c>
      <c r="E63" s="251" t="s">
        <v>332</v>
      </c>
      <c r="F63" s="279" t="s">
        <v>329</v>
      </c>
      <c r="G63" s="279" t="s">
        <v>336</v>
      </c>
      <c r="H63" s="280" t="s">
        <v>334</v>
      </c>
      <c r="I63" s="281"/>
      <c r="L63" s="251"/>
      <c r="O63" s="251"/>
    </row>
    <row r="64" spans="1:20" x14ac:dyDescent="0.25">
      <c r="D64" s="282">
        <f t="shared" ref="D64:D78" si="11">D47*(B47/1000)</f>
        <v>1.0215875332673674</v>
      </c>
      <c r="E64" s="294">
        <f>E47*$M$47</f>
        <v>0.3808939971460375</v>
      </c>
      <c r="F64" s="294">
        <f>F47*$M$43</f>
        <v>0.10161857284502876</v>
      </c>
      <c r="G64" s="294">
        <f>G47*$M$42</f>
        <v>0.30849717745615579</v>
      </c>
      <c r="H64" s="280" t="s">
        <v>334</v>
      </c>
      <c r="I64" s="281"/>
      <c r="L64" s="251"/>
      <c r="O64" s="251"/>
    </row>
    <row r="65" spans="1:13" x14ac:dyDescent="0.25">
      <c r="D65" s="282">
        <f t="shared" si="11"/>
        <v>1.0216614879916481</v>
      </c>
      <c r="E65" s="294">
        <f t="shared" ref="E65:E78" si="12">E48*$M$47</f>
        <v>0.38219886649772467</v>
      </c>
      <c r="F65" s="294">
        <f t="shared" ref="F65:F78" si="13">F48*$M$43</f>
        <v>0.10196669847121664</v>
      </c>
      <c r="G65" s="294">
        <f t="shared" ref="G65:G78" si="14">G48*$M$42</f>
        <v>0.30955402927046832</v>
      </c>
      <c r="H65" s="280" t="s">
        <v>334</v>
      </c>
      <c r="I65" s="255"/>
      <c r="M65" s="257"/>
    </row>
    <row r="66" spans="1:13" x14ac:dyDescent="0.25">
      <c r="D66" s="282">
        <f t="shared" si="11"/>
        <v>1.0215394416109511</v>
      </c>
      <c r="E66" s="294">
        <f t="shared" si="12"/>
        <v>0.38004546002903605</v>
      </c>
      <c r="F66" s="294">
        <f t="shared" si="13"/>
        <v>0.1013921919320141</v>
      </c>
      <c r="G66" s="294">
        <f t="shared" si="14"/>
        <v>0.30780992245207822</v>
      </c>
      <c r="H66" s="280" t="s">
        <v>334</v>
      </c>
      <c r="I66" s="255"/>
      <c r="M66" s="257"/>
    </row>
    <row r="67" spans="1:13" x14ac:dyDescent="0.25">
      <c r="D67" s="282">
        <f t="shared" si="11"/>
        <v>1.0213392143937816</v>
      </c>
      <c r="E67" s="294">
        <f t="shared" si="12"/>
        <v>0.37651261798818986</v>
      </c>
      <c r="F67" s="294">
        <f t="shared" si="13"/>
        <v>0.10044966627141654</v>
      </c>
      <c r="G67" s="294">
        <f t="shared" si="14"/>
        <v>0.30494857045870027</v>
      </c>
      <c r="H67" s="280" t="s">
        <v>334</v>
      </c>
      <c r="I67" s="255"/>
      <c r="M67" s="257"/>
    </row>
    <row r="68" spans="1:13" x14ac:dyDescent="0.25">
      <c r="D68" s="282">
        <f t="shared" si="11"/>
        <v>1.0209813484627148</v>
      </c>
      <c r="E68" s="294">
        <f t="shared" si="12"/>
        <v>0.37019837248185822</v>
      </c>
      <c r="F68" s="294">
        <f t="shared" si="13"/>
        <v>9.8765090978147882E-2</v>
      </c>
      <c r="G68" s="294">
        <f t="shared" si="14"/>
        <v>0.29983447853006934</v>
      </c>
      <c r="H68" s="280" t="s">
        <v>334</v>
      </c>
      <c r="I68" s="255"/>
      <c r="M68" s="257"/>
    </row>
    <row r="69" spans="1:13" x14ac:dyDescent="0.25">
      <c r="D69" s="282">
        <f t="shared" si="11"/>
        <v>1.0208895014795805</v>
      </c>
      <c r="E69" s="294">
        <f t="shared" si="12"/>
        <v>0.36857780916419614</v>
      </c>
      <c r="F69" s="294">
        <f t="shared" si="13"/>
        <v>9.8332741472039284E-2</v>
      </c>
      <c r="G69" s="294">
        <f t="shared" si="14"/>
        <v>0.29852193694859608</v>
      </c>
      <c r="H69" s="280" t="s">
        <v>334</v>
      </c>
      <c r="I69" s="255"/>
      <c r="M69" s="257"/>
    </row>
    <row r="70" spans="1:13" x14ac:dyDescent="0.25">
      <c r="D70" s="282">
        <f t="shared" si="11"/>
        <v>1.0205924293708584</v>
      </c>
      <c r="E70" s="294">
        <f t="shared" si="12"/>
        <v>0.36333621988531195</v>
      </c>
      <c r="F70" s="294">
        <f t="shared" si="13"/>
        <v>9.6934339748853834E-2</v>
      </c>
      <c r="G70" s="294">
        <f t="shared" si="14"/>
        <v>0.2942766206400268</v>
      </c>
      <c r="H70" s="280" t="s">
        <v>334</v>
      </c>
      <c r="I70" s="255"/>
      <c r="M70" s="257"/>
    </row>
    <row r="71" spans="1:13" x14ac:dyDescent="0.25">
      <c r="D71" s="282">
        <f t="shared" si="11"/>
        <v>1.0205000304920484</v>
      </c>
      <c r="E71" s="294">
        <f t="shared" si="12"/>
        <v>0.36170591882933673</v>
      </c>
      <c r="F71" s="294">
        <f t="shared" si="13"/>
        <v>9.6499392315034266E-2</v>
      </c>
      <c r="G71" s="294">
        <f t="shared" si="14"/>
        <v>0.2929561921797712</v>
      </c>
      <c r="H71" s="280" t="s">
        <v>334</v>
      </c>
      <c r="I71" s="255"/>
      <c r="M71" s="257"/>
    </row>
    <row r="72" spans="1:13" x14ac:dyDescent="0.25">
      <c r="D72" s="282">
        <f t="shared" si="11"/>
        <v>1.0203056272507587</v>
      </c>
      <c r="E72" s="294">
        <f t="shared" si="12"/>
        <v>0.35827583597939122</v>
      </c>
      <c r="F72" s="294">
        <f t="shared" si="13"/>
        <v>9.558428174211013E-2</v>
      </c>
      <c r="G72" s="294">
        <f t="shared" si="14"/>
        <v>0.29017806785757755</v>
      </c>
      <c r="H72" s="280" t="s">
        <v>334</v>
      </c>
      <c r="I72" s="255"/>
      <c r="M72" s="257"/>
    </row>
    <row r="73" spans="1:13" x14ac:dyDescent="0.25">
      <c r="D73" s="282">
        <f t="shared" si="11"/>
        <v>1.0201755491181688</v>
      </c>
      <c r="E73" s="294">
        <f t="shared" si="12"/>
        <v>0.35598071595572794</v>
      </c>
      <c r="F73" s="294">
        <f t="shared" si="13"/>
        <v>9.4971967494418566E-2</v>
      </c>
      <c r="G73" s="294">
        <f t="shared" si="14"/>
        <v>0.28831918309034987</v>
      </c>
      <c r="H73" s="280" t="s">
        <v>334</v>
      </c>
      <c r="I73" s="255"/>
      <c r="M73" s="257"/>
    </row>
    <row r="74" spans="1:13" x14ac:dyDescent="0.25">
      <c r="D74" s="282">
        <f t="shared" si="11"/>
        <v>1.0200524650042935</v>
      </c>
      <c r="E74" s="294">
        <f t="shared" si="12"/>
        <v>0.3538089995517012</v>
      </c>
      <c r="F74" s="294">
        <f t="shared" si="13"/>
        <v>9.4392576054136243E-2</v>
      </c>
      <c r="G74" s="294">
        <f t="shared" si="14"/>
        <v>0.28656024652033979</v>
      </c>
      <c r="H74" s="280" t="s">
        <v>334</v>
      </c>
      <c r="I74" s="255"/>
      <c r="M74" s="257"/>
    </row>
    <row r="75" spans="1:13" x14ac:dyDescent="0.25">
      <c r="D75" s="282">
        <f t="shared" si="11"/>
        <v>1.0199648452499002</v>
      </c>
      <c r="E75" s="294">
        <f t="shared" si="12"/>
        <v>0.35226302215509847</v>
      </c>
      <c r="F75" s="294">
        <f t="shared" si="13"/>
        <v>9.3980125299147815E-2</v>
      </c>
      <c r="G75" s="294">
        <f t="shared" si="14"/>
        <v>0.28530811425562441</v>
      </c>
      <c r="H75" s="280" t="s">
        <v>334</v>
      </c>
      <c r="I75" s="255"/>
      <c r="M75" s="257"/>
    </row>
    <row r="76" spans="1:13" x14ac:dyDescent="0.25">
      <c r="D76" s="282">
        <f t="shared" si="11"/>
        <v>1.0197533009051987</v>
      </c>
      <c r="E76" s="294">
        <f t="shared" si="12"/>
        <v>0.34853049884967557</v>
      </c>
      <c r="F76" s="294">
        <f t="shared" si="13"/>
        <v>9.2984326745613619E-2</v>
      </c>
      <c r="G76" s="294">
        <f t="shared" si="14"/>
        <v>0.28228503457167026</v>
      </c>
      <c r="H76" s="280" t="s">
        <v>334</v>
      </c>
      <c r="I76" s="255"/>
      <c r="M76" s="257"/>
    </row>
    <row r="77" spans="1:13" x14ac:dyDescent="0.25">
      <c r="D77" s="282">
        <f t="shared" si="11"/>
        <v>1.0196555533893581</v>
      </c>
      <c r="E77" s="294">
        <f t="shared" si="12"/>
        <v>0.34680582555984613</v>
      </c>
      <c r="F77" s="294">
        <f t="shared" si="13"/>
        <v>9.2524201777382062E-2</v>
      </c>
      <c r="G77" s="294">
        <f t="shared" si="14"/>
        <v>0.28088817128179699</v>
      </c>
      <c r="H77" s="280" t="s">
        <v>334</v>
      </c>
      <c r="I77" s="255"/>
      <c r="M77" s="257"/>
    </row>
    <row r="78" spans="1:13" x14ac:dyDescent="0.25">
      <c r="D78" s="282">
        <f t="shared" si="11"/>
        <v>1.0252317627710206</v>
      </c>
      <c r="E78" s="294">
        <f t="shared" si="12"/>
        <v>0.44519338350817766</v>
      </c>
      <c r="F78" s="294">
        <f t="shared" si="13"/>
        <v>0.11877298306385559</v>
      </c>
      <c r="G78" s="294">
        <f t="shared" si="14"/>
        <v>0.36057512920522927</v>
      </c>
      <c r="H78" s="280" t="s">
        <v>334</v>
      </c>
      <c r="I78" s="255"/>
      <c r="M78" s="257"/>
    </row>
    <row r="79" spans="1:13" x14ac:dyDescent="0.25">
      <c r="F79" s="254"/>
      <c r="I79" s="255"/>
      <c r="M79" s="257"/>
    </row>
    <row r="80" spans="1:13" x14ac:dyDescent="0.25">
      <c r="A80" s="283" t="s">
        <v>339</v>
      </c>
      <c r="F80" s="254"/>
      <c r="I80" s="255"/>
      <c r="M80" s="257"/>
    </row>
    <row r="81" spans="1:13" x14ac:dyDescent="0.25">
      <c r="A81" s="251" t="s">
        <v>517</v>
      </c>
      <c r="C81" s="251" t="s">
        <v>481</v>
      </c>
      <c r="D81" s="251" t="s">
        <v>482</v>
      </c>
      <c r="F81" s="254"/>
      <c r="I81" s="299" t="s">
        <v>537</v>
      </c>
      <c r="M81" s="257"/>
    </row>
    <row r="82" spans="1:13" x14ac:dyDescent="0.25">
      <c r="A82" s="251" t="s">
        <v>472</v>
      </c>
      <c r="D82" s="251" t="s">
        <v>483</v>
      </c>
      <c r="F82" s="254"/>
      <c r="I82" s="255"/>
      <c r="M82" s="257"/>
    </row>
    <row r="83" spans="1:13" x14ac:dyDescent="0.25">
      <c r="A83" s="251" t="s">
        <v>473</v>
      </c>
      <c r="F83" s="254"/>
      <c r="I83" s="255"/>
      <c r="M83" s="257"/>
    </row>
    <row r="84" spans="1:13" x14ac:dyDescent="0.25">
      <c r="A84" s="251" t="s">
        <v>474</v>
      </c>
      <c r="F84" s="254"/>
      <c r="I84" s="255"/>
      <c r="M84" s="257"/>
    </row>
    <row r="85" spans="1:13" x14ac:dyDescent="0.25">
      <c r="F85" s="254"/>
      <c r="I85" s="255"/>
      <c r="M85" s="257"/>
    </row>
    <row r="86" spans="1:13" x14ac:dyDescent="0.25">
      <c r="B86" s="251" t="s">
        <v>317</v>
      </c>
      <c r="C86" s="251" t="s">
        <v>318</v>
      </c>
      <c r="D86" s="251" t="s">
        <v>313</v>
      </c>
      <c r="E86" s="251" t="s">
        <v>315</v>
      </c>
      <c r="F86" s="251" t="s">
        <v>316</v>
      </c>
      <c r="I86" s="255"/>
      <c r="M86" s="257"/>
    </row>
    <row r="87" spans="1:13" x14ac:dyDescent="0.25">
      <c r="A87" s="251" t="s">
        <v>314</v>
      </c>
      <c r="B87" s="250">
        <v>2</v>
      </c>
      <c r="C87" s="250">
        <v>2</v>
      </c>
      <c r="D87" s="250">
        <v>12</v>
      </c>
      <c r="E87" s="250">
        <v>0</v>
      </c>
      <c r="F87" s="250">
        <f>10*B87</f>
        <v>20</v>
      </c>
      <c r="I87" s="255"/>
      <c r="M87" s="257"/>
    </row>
    <row r="88" spans="1:13" x14ac:dyDescent="0.25">
      <c r="A88" s="251" t="s">
        <v>262</v>
      </c>
      <c r="B88" s="250">
        <v>1</v>
      </c>
      <c r="C88" s="250">
        <v>2</v>
      </c>
      <c r="D88" s="250">
        <v>6</v>
      </c>
      <c r="E88" s="250">
        <v>0</v>
      </c>
      <c r="F88" s="250">
        <f>10*B88</f>
        <v>10</v>
      </c>
      <c r="I88" s="255"/>
      <c r="M88" s="257"/>
    </row>
    <row r="89" spans="1:13" x14ac:dyDescent="0.25">
      <c r="A89" s="251" t="s">
        <v>266</v>
      </c>
      <c r="B89" s="250">
        <v>6</v>
      </c>
      <c r="C89" s="250">
        <v>2</v>
      </c>
      <c r="D89" s="250">
        <v>36</v>
      </c>
      <c r="E89" s="250">
        <v>0</v>
      </c>
      <c r="F89" s="250">
        <f>10*B89</f>
        <v>60</v>
      </c>
      <c r="I89" s="255"/>
      <c r="M89" s="257"/>
    </row>
    <row r="90" spans="1:13" x14ac:dyDescent="0.25">
      <c r="A90" s="251" t="s">
        <v>273</v>
      </c>
      <c r="B90" s="251">
        <v>4</v>
      </c>
      <c r="C90" s="251">
        <v>2</v>
      </c>
      <c r="D90" s="251">
        <v>24</v>
      </c>
      <c r="E90" s="251">
        <v>0</v>
      </c>
      <c r="F90" s="250">
        <f>10*B90</f>
        <v>40</v>
      </c>
      <c r="I90" s="255"/>
      <c r="M90" s="257"/>
    </row>
    <row r="91" spans="1:13" x14ac:dyDescent="0.25">
      <c r="F91" s="254"/>
      <c r="I91" s="255"/>
      <c r="M91" s="257"/>
    </row>
    <row r="92" spans="1:13" x14ac:dyDescent="0.25">
      <c r="B92" s="251" t="s">
        <v>238</v>
      </c>
      <c r="C92" s="251" t="s">
        <v>239</v>
      </c>
      <c r="F92" s="254"/>
      <c r="I92" s="255"/>
      <c r="M92" s="257"/>
    </row>
    <row r="93" spans="1:13" x14ac:dyDescent="0.25">
      <c r="A93" s="250" t="s">
        <v>240</v>
      </c>
      <c r="B93" s="251">
        <v>1</v>
      </c>
      <c r="C93" s="251">
        <v>2</v>
      </c>
      <c r="D93" s="250">
        <f>B93*K19+C93*$K$10</f>
        <v>172.1148</v>
      </c>
      <c r="E93" s="251" t="s">
        <v>241</v>
      </c>
      <c r="F93" s="254"/>
      <c r="I93" s="255"/>
      <c r="M93" s="257"/>
    </row>
    <row r="94" spans="1:13" x14ac:dyDescent="0.25">
      <c r="A94" s="250" t="s">
        <v>243</v>
      </c>
      <c r="B94" s="251">
        <v>2</v>
      </c>
      <c r="C94" s="251">
        <v>3</v>
      </c>
      <c r="D94" s="250">
        <f>B94*K20+C94*$K$10</f>
        <v>325.80914000000001</v>
      </c>
      <c r="E94" s="251" t="s">
        <v>241</v>
      </c>
      <c r="F94" s="274"/>
      <c r="I94" s="255"/>
      <c r="M94" s="257"/>
    </row>
    <row r="95" spans="1:13" x14ac:dyDescent="0.25">
      <c r="A95" s="250" t="s">
        <v>245</v>
      </c>
      <c r="B95" s="251">
        <v>6</v>
      </c>
      <c r="C95" s="251">
        <v>11</v>
      </c>
      <c r="D95" s="250">
        <f>B95*K21+C95*$K$10</f>
        <v>1021.4393</v>
      </c>
      <c r="E95" s="251" t="s">
        <v>241</v>
      </c>
      <c r="I95" s="255"/>
      <c r="M95" s="257"/>
    </row>
    <row r="96" spans="1:13" x14ac:dyDescent="0.25">
      <c r="A96" s="250" t="s">
        <v>247</v>
      </c>
      <c r="B96" s="251">
        <v>2</v>
      </c>
      <c r="C96" s="251">
        <v>3</v>
      </c>
      <c r="D96" s="250">
        <f t="shared" ref="D96:D107" si="15">B96*K22+C96*$K$10</f>
        <v>336.48219999999998</v>
      </c>
      <c r="E96" s="251" t="s">
        <v>241</v>
      </c>
      <c r="I96" s="255"/>
      <c r="M96" s="257"/>
    </row>
    <row r="97" spans="1:9" x14ac:dyDescent="0.25">
      <c r="A97" s="250" t="s">
        <v>249</v>
      </c>
      <c r="B97" s="251">
        <v>2</v>
      </c>
      <c r="C97" s="251">
        <v>3</v>
      </c>
      <c r="D97" s="250">
        <f t="shared" si="15"/>
        <v>348.71820000000002</v>
      </c>
      <c r="E97" s="251" t="s">
        <v>241</v>
      </c>
      <c r="I97" s="274"/>
    </row>
    <row r="98" spans="1:9" x14ac:dyDescent="0.25">
      <c r="A98" s="250" t="s">
        <v>251</v>
      </c>
      <c r="B98" s="251">
        <v>2</v>
      </c>
      <c r="C98" s="251">
        <v>3</v>
      </c>
      <c r="D98" s="250">
        <f t="shared" si="15"/>
        <v>351.92619999999999</v>
      </c>
      <c r="E98" s="251" t="s">
        <v>241</v>
      </c>
    </row>
    <row r="99" spans="1:9" x14ac:dyDescent="0.25">
      <c r="A99" s="250" t="s">
        <v>253</v>
      </c>
      <c r="B99" s="251">
        <v>2</v>
      </c>
      <c r="C99" s="251">
        <v>3</v>
      </c>
      <c r="D99" s="250">
        <f t="shared" si="15"/>
        <v>362.4982</v>
      </c>
      <c r="E99" s="251" t="s">
        <v>241</v>
      </c>
    </row>
    <row r="100" spans="1:9" x14ac:dyDescent="0.25">
      <c r="A100" s="250" t="s">
        <v>255</v>
      </c>
      <c r="B100" s="251">
        <v>4</v>
      </c>
      <c r="C100" s="251">
        <v>7</v>
      </c>
      <c r="D100" s="250">
        <f t="shared" si="15"/>
        <v>747.69720000000007</v>
      </c>
      <c r="E100" s="251" t="s">
        <v>241</v>
      </c>
    </row>
    <row r="101" spans="1:9" x14ac:dyDescent="0.25">
      <c r="A101" s="250" t="s">
        <v>257</v>
      </c>
      <c r="B101" s="251">
        <v>2</v>
      </c>
      <c r="C101" s="251">
        <v>3</v>
      </c>
      <c r="D101" s="250">
        <f t="shared" si="15"/>
        <v>372.9982</v>
      </c>
      <c r="E101" s="251" t="s">
        <v>241</v>
      </c>
    </row>
    <row r="102" spans="1:9" x14ac:dyDescent="0.25">
      <c r="A102" s="250" t="s">
        <v>259</v>
      </c>
      <c r="B102" s="251">
        <v>2</v>
      </c>
      <c r="C102" s="251">
        <v>3</v>
      </c>
      <c r="D102" s="250">
        <f t="shared" si="15"/>
        <v>377.85883999999999</v>
      </c>
      <c r="E102" s="251" t="s">
        <v>241</v>
      </c>
    </row>
    <row r="103" spans="1:9" x14ac:dyDescent="0.25">
      <c r="A103" s="250" t="s">
        <v>261</v>
      </c>
      <c r="B103" s="251">
        <v>2</v>
      </c>
      <c r="C103" s="251">
        <v>3</v>
      </c>
      <c r="D103" s="250">
        <f t="shared" si="15"/>
        <v>382.51619999999997</v>
      </c>
      <c r="E103" s="251" t="s">
        <v>241</v>
      </c>
    </row>
    <row r="104" spans="1:9" x14ac:dyDescent="0.25">
      <c r="A104" s="250" t="s">
        <v>263</v>
      </c>
      <c r="B104" s="251">
        <v>2</v>
      </c>
      <c r="C104" s="251">
        <v>3</v>
      </c>
      <c r="D104" s="250">
        <f t="shared" si="15"/>
        <v>385.86662000000001</v>
      </c>
      <c r="E104" s="251" t="s">
        <v>241</v>
      </c>
    </row>
    <row r="105" spans="1:9" x14ac:dyDescent="0.25">
      <c r="A105" s="250" t="s">
        <v>265</v>
      </c>
      <c r="B105" s="251">
        <v>2</v>
      </c>
      <c r="C105" s="251">
        <v>3</v>
      </c>
      <c r="D105" s="250">
        <f t="shared" si="15"/>
        <v>394.07819999999998</v>
      </c>
      <c r="E105" s="251" t="s">
        <v>241</v>
      </c>
    </row>
    <row r="106" spans="1:9" x14ac:dyDescent="0.25">
      <c r="A106" s="250" t="s">
        <v>267</v>
      </c>
      <c r="B106" s="251">
        <v>2</v>
      </c>
      <c r="C106" s="251">
        <v>3</v>
      </c>
      <c r="D106" s="250">
        <f t="shared" si="15"/>
        <v>397.93220000000002</v>
      </c>
      <c r="E106" s="251" t="s">
        <v>241</v>
      </c>
    </row>
    <row r="107" spans="1:9" x14ac:dyDescent="0.25">
      <c r="A107" s="250" t="s">
        <v>269</v>
      </c>
      <c r="B107" s="251">
        <v>2</v>
      </c>
      <c r="C107" s="251">
        <v>3</v>
      </c>
      <c r="D107" s="250">
        <f t="shared" si="15"/>
        <v>225.8099</v>
      </c>
      <c r="E107" s="251" t="s">
        <v>241</v>
      </c>
      <c r="F107" s="254"/>
    </row>
    <row r="108" spans="1:9" x14ac:dyDescent="0.25">
      <c r="F108" s="254"/>
    </row>
    <row r="109" spans="1:9" x14ac:dyDescent="0.25">
      <c r="B109" s="251" t="s">
        <v>319</v>
      </c>
      <c r="C109" s="251" t="s">
        <v>320</v>
      </c>
      <c r="D109" s="251" t="s">
        <v>321</v>
      </c>
      <c r="E109" s="251" t="s">
        <v>322</v>
      </c>
      <c r="F109" s="277" t="s">
        <v>323</v>
      </c>
    </row>
    <row r="110" spans="1:9" x14ac:dyDescent="0.25">
      <c r="A110" s="250" t="s">
        <v>240</v>
      </c>
      <c r="B110" s="278">
        <f>B88*($D47/$B88)</f>
        <v>1.4101719879600643</v>
      </c>
      <c r="C110" s="278">
        <f>C88*($D47/$B88)</f>
        <v>2.8203439759201285</v>
      </c>
      <c r="D110" s="278">
        <f>D88*($D47/$B88)</f>
        <v>8.461031927760386</v>
      </c>
      <c r="E110" s="278">
        <f>E88*($D47/$B88)</f>
        <v>0</v>
      </c>
      <c r="F110" s="278">
        <f>F88*($D47/$B88)</f>
        <v>14.101719879600642</v>
      </c>
      <c r="G110" s="251" t="s">
        <v>324</v>
      </c>
    </row>
    <row r="111" spans="1:9" x14ac:dyDescent="0.25">
      <c r="A111" s="250" t="s">
        <v>243</v>
      </c>
      <c r="B111" s="278">
        <f>B$87*($D48/$B$87)</f>
        <v>1.4150029651387133</v>
      </c>
      <c r="C111" s="278">
        <f>C$87*($D48/$B$87)</f>
        <v>1.4150029651387133</v>
      </c>
      <c r="D111" s="278">
        <f>D$87*($D48/$B$87)</f>
        <v>8.4900177908322796</v>
      </c>
      <c r="E111" s="278">
        <f>E$87*($D48/$B$87)</f>
        <v>0</v>
      </c>
      <c r="F111" s="278">
        <f>F$87*($D48/$B$87)</f>
        <v>14.150029651387133</v>
      </c>
      <c r="G111" s="251" t="s">
        <v>324</v>
      </c>
      <c r="I111" s="255"/>
    </row>
    <row r="112" spans="1:9" x14ac:dyDescent="0.25">
      <c r="A112" s="250" t="s">
        <v>245</v>
      </c>
      <c r="B112" s="278">
        <f>B89*($D49/$B89)</f>
        <v>1.4070304754077385</v>
      </c>
      <c r="C112" s="278">
        <f>C89*($D49/$B89)</f>
        <v>0.46901015846924615</v>
      </c>
      <c r="D112" s="278">
        <f>D89*($D49/$B89)</f>
        <v>8.4421828524464306</v>
      </c>
      <c r="E112" s="278">
        <f>E89*($D49/$B89)</f>
        <v>0</v>
      </c>
      <c r="F112" s="278">
        <f>F89*($D49/$B89)</f>
        <v>14.070304754077384</v>
      </c>
      <c r="G112" s="251" t="s">
        <v>324</v>
      </c>
      <c r="I112" s="255"/>
    </row>
    <row r="113" spans="1:9" x14ac:dyDescent="0.25">
      <c r="A113" s="250" t="s">
        <v>247</v>
      </c>
      <c r="B113" s="278">
        <f t="shared" ref="B113:F116" si="16">B$87*($D50/$B$87)</f>
        <v>1.3939509443014004</v>
      </c>
      <c r="C113" s="278">
        <f t="shared" si="16"/>
        <v>1.3939509443014004</v>
      </c>
      <c r="D113" s="278">
        <f t="shared" si="16"/>
        <v>8.3637056658084035</v>
      </c>
      <c r="E113" s="278">
        <f t="shared" si="16"/>
        <v>0</v>
      </c>
      <c r="F113" s="278">
        <f t="shared" si="16"/>
        <v>13.939509443014003</v>
      </c>
      <c r="G113" s="251" t="s">
        <v>324</v>
      </c>
      <c r="I113" s="255"/>
    </row>
    <row r="114" spans="1:9" x14ac:dyDescent="0.25">
      <c r="A114" s="250" t="s">
        <v>249</v>
      </c>
      <c r="B114" s="278">
        <f t="shared" si="16"/>
        <v>1.3705739097331249</v>
      </c>
      <c r="C114" s="278">
        <f t="shared" si="16"/>
        <v>1.3705739097331249</v>
      </c>
      <c r="D114" s="278">
        <f t="shared" si="16"/>
        <v>8.2234434583987497</v>
      </c>
      <c r="E114" s="278">
        <f t="shared" si="16"/>
        <v>0</v>
      </c>
      <c r="F114" s="278">
        <f t="shared" si="16"/>
        <v>13.705739097331248</v>
      </c>
      <c r="G114" s="251" t="s">
        <v>324</v>
      </c>
      <c r="I114" s="255"/>
    </row>
    <row r="115" spans="1:9" x14ac:dyDescent="0.25">
      <c r="A115" s="250" t="s">
        <v>251</v>
      </c>
      <c r="B115" s="278">
        <f t="shared" si="16"/>
        <v>1.3645741486121681</v>
      </c>
      <c r="C115" s="278">
        <f t="shared" si="16"/>
        <v>1.3645741486121681</v>
      </c>
      <c r="D115" s="278">
        <f t="shared" si="16"/>
        <v>8.1874448916730085</v>
      </c>
      <c r="E115" s="278">
        <f t="shared" si="16"/>
        <v>0</v>
      </c>
      <c r="F115" s="278">
        <f t="shared" si="16"/>
        <v>13.645741486121681</v>
      </c>
      <c r="G115" s="251" t="s">
        <v>324</v>
      </c>
      <c r="I115" s="255"/>
    </row>
    <row r="116" spans="1:9" x14ac:dyDescent="0.25">
      <c r="A116" s="250" t="s">
        <v>253</v>
      </c>
      <c r="B116" s="278">
        <f t="shared" si="16"/>
        <v>1.3451683758017337</v>
      </c>
      <c r="C116" s="278">
        <f t="shared" si="16"/>
        <v>1.3451683758017337</v>
      </c>
      <c r="D116" s="278">
        <f t="shared" si="16"/>
        <v>8.0710102548104015</v>
      </c>
      <c r="E116" s="278">
        <f t="shared" si="16"/>
        <v>0</v>
      </c>
      <c r="F116" s="278">
        <f t="shared" si="16"/>
        <v>13.451683758017337</v>
      </c>
      <c r="G116" s="251" t="s">
        <v>324</v>
      </c>
      <c r="I116" s="255"/>
    </row>
    <row r="117" spans="1:9" x14ac:dyDescent="0.25">
      <c r="A117" s="250" t="s">
        <v>255</v>
      </c>
      <c r="B117" s="278">
        <f>B90*($D54/$B100)</f>
        <v>1.339132562955367</v>
      </c>
      <c r="C117" s="278">
        <f>C90*($D54/$B100)</f>
        <v>0.66956628147768349</v>
      </c>
      <c r="D117" s="278">
        <f>D90*($D54/$B90)</f>
        <v>8.0347953777322019</v>
      </c>
      <c r="E117" s="278">
        <f>E90*($D54/$B100)</f>
        <v>0</v>
      </c>
      <c r="F117" s="278">
        <f>F90*($D54/$B94)</f>
        <v>26.78265125910734</v>
      </c>
      <c r="G117" s="251" t="s">
        <v>324</v>
      </c>
      <c r="I117" s="255"/>
    </row>
    <row r="118" spans="1:9" x14ac:dyDescent="0.25">
      <c r="A118" s="250" t="s">
        <v>257</v>
      </c>
      <c r="B118" s="278">
        <f t="shared" ref="B118:F124" si="17">B$87*($D55/$B$87)</f>
        <v>1.3264334740024875</v>
      </c>
      <c r="C118" s="278">
        <f t="shared" si="17"/>
        <v>1.3264334740024875</v>
      </c>
      <c r="D118" s="278">
        <f t="shared" si="17"/>
        <v>7.9586008440149243</v>
      </c>
      <c r="E118" s="278">
        <f t="shared" si="17"/>
        <v>0</v>
      </c>
      <c r="F118" s="278">
        <f t="shared" si="17"/>
        <v>13.264334740024875</v>
      </c>
      <c r="G118" s="251" t="s">
        <v>324</v>
      </c>
      <c r="I118" s="255"/>
    </row>
    <row r="119" spans="1:9" x14ac:dyDescent="0.25">
      <c r="A119" s="250" t="s">
        <v>259</v>
      </c>
      <c r="B119" s="278">
        <f t="shared" si="17"/>
        <v>1.317936322588638</v>
      </c>
      <c r="C119" s="278">
        <f t="shared" si="17"/>
        <v>1.317936322588638</v>
      </c>
      <c r="D119" s="278">
        <f t="shared" si="17"/>
        <v>7.9076179355318281</v>
      </c>
      <c r="E119" s="278">
        <f t="shared" si="17"/>
        <v>0</v>
      </c>
      <c r="F119" s="278">
        <f t="shared" si="17"/>
        <v>13.17936322588638</v>
      </c>
      <c r="G119" s="251" t="s">
        <v>324</v>
      </c>
      <c r="I119" s="255"/>
    </row>
    <row r="120" spans="1:9" x14ac:dyDescent="0.25">
      <c r="A120" s="250" t="s">
        <v>261</v>
      </c>
      <c r="B120" s="278">
        <f t="shared" si="17"/>
        <v>1.3098960445540706</v>
      </c>
      <c r="C120" s="278">
        <f t="shared" si="17"/>
        <v>1.3098960445540706</v>
      </c>
      <c r="D120" s="278">
        <f t="shared" si="17"/>
        <v>7.8593762673244232</v>
      </c>
      <c r="E120" s="278">
        <f t="shared" si="17"/>
        <v>0</v>
      </c>
      <c r="F120" s="278">
        <f t="shared" si="17"/>
        <v>13.098960445540706</v>
      </c>
      <c r="G120" s="251" t="s">
        <v>324</v>
      </c>
      <c r="I120" s="255"/>
    </row>
    <row r="121" spans="1:9" x14ac:dyDescent="0.25">
      <c r="A121" s="250" t="s">
        <v>263</v>
      </c>
      <c r="B121" s="278">
        <f t="shared" si="17"/>
        <v>1.3041724205667051</v>
      </c>
      <c r="C121" s="278">
        <f t="shared" si="17"/>
        <v>1.3041724205667051</v>
      </c>
      <c r="D121" s="278">
        <f t="shared" si="17"/>
        <v>7.8250345234002303</v>
      </c>
      <c r="E121" s="278">
        <f t="shared" si="17"/>
        <v>0</v>
      </c>
      <c r="F121" s="278">
        <f t="shared" si="17"/>
        <v>13.041724205667052</v>
      </c>
      <c r="G121" s="251" t="s">
        <v>324</v>
      </c>
      <c r="I121" s="255"/>
    </row>
    <row r="122" spans="1:9" x14ac:dyDescent="0.25">
      <c r="A122" s="250" t="s">
        <v>265</v>
      </c>
      <c r="B122" s="278">
        <f t="shared" si="17"/>
        <v>1.2903536157308353</v>
      </c>
      <c r="C122" s="278">
        <f t="shared" si="17"/>
        <v>1.2903536157308353</v>
      </c>
      <c r="D122" s="278">
        <f t="shared" si="17"/>
        <v>7.7421216943850117</v>
      </c>
      <c r="E122" s="278">
        <f t="shared" si="17"/>
        <v>0</v>
      </c>
      <c r="F122" s="278">
        <f t="shared" si="17"/>
        <v>12.903536157308352</v>
      </c>
      <c r="G122" s="251" t="s">
        <v>324</v>
      </c>
      <c r="I122" s="255"/>
    </row>
    <row r="123" spans="1:9" x14ac:dyDescent="0.25">
      <c r="A123" s="250" t="s">
        <v>267</v>
      </c>
      <c r="B123" s="278">
        <f t="shared" si="17"/>
        <v>1.2839684115009877</v>
      </c>
      <c r="C123" s="278">
        <f t="shared" si="17"/>
        <v>1.2839684115009877</v>
      </c>
      <c r="D123" s="278">
        <f t="shared" si="17"/>
        <v>7.7038104690059264</v>
      </c>
      <c r="E123" s="278">
        <f t="shared" si="17"/>
        <v>0</v>
      </c>
      <c r="F123" s="278">
        <f t="shared" si="17"/>
        <v>12.839684115009877</v>
      </c>
      <c r="G123" s="251" t="s">
        <v>324</v>
      </c>
      <c r="I123" s="255"/>
    </row>
    <row r="124" spans="1:9" x14ac:dyDescent="0.25">
      <c r="A124" s="250" t="s">
        <v>269</v>
      </c>
      <c r="B124" s="278">
        <f t="shared" si="17"/>
        <v>1.6482256043738368</v>
      </c>
      <c r="C124" s="278">
        <f t="shared" si="17"/>
        <v>1.6482256043738368</v>
      </c>
      <c r="D124" s="278">
        <f t="shared" si="17"/>
        <v>9.8893536262430217</v>
      </c>
      <c r="E124" s="278">
        <f t="shared" si="17"/>
        <v>0</v>
      </c>
      <c r="F124" s="278">
        <f t="shared" si="17"/>
        <v>16.482256043738367</v>
      </c>
      <c r="G124" s="251" t="s">
        <v>324</v>
      </c>
      <c r="I124" s="255"/>
    </row>
    <row r="125" spans="1:9" x14ac:dyDescent="0.25">
      <c r="B125" s="278"/>
      <c r="C125" s="278"/>
      <c r="D125" s="278"/>
      <c r="E125" s="278"/>
      <c r="F125" s="278"/>
      <c r="G125" s="251"/>
    </row>
    <row r="126" spans="1:9" x14ac:dyDescent="0.25">
      <c r="B126" s="251" t="s">
        <v>325</v>
      </c>
      <c r="C126" s="251" t="s">
        <v>326</v>
      </c>
      <c r="D126" s="251" t="s">
        <v>327</v>
      </c>
      <c r="E126" s="251" t="s">
        <v>328</v>
      </c>
      <c r="F126" s="251" t="s">
        <v>329</v>
      </c>
    </row>
    <row r="127" spans="1:9" x14ac:dyDescent="0.25">
      <c r="A127" s="250" t="s">
        <v>240</v>
      </c>
      <c r="B127" s="278">
        <f t="shared" ref="B127:B141" si="18">B110*(B47/1000)</f>
        <v>1.0215875332673674</v>
      </c>
      <c r="C127" s="297">
        <f>C110*(D93/Conversions!$D$6)</f>
        <v>0.48542293934669778</v>
      </c>
      <c r="D127" s="298">
        <f t="shared" ref="D127:D141" si="19">D110*$M$40</f>
        <v>0.37236578462477071</v>
      </c>
      <c r="E127" s="297">
        <f>E110*(($K$9+$K$10)/Conversions!$D$6)</f>
        <v>0</v>
      </c>
      <c r="F127" s="298">
        <f>F110*$M$43</f>
        <v>0.25404643211257188</v>
      </c>
      <c r="G127" s="251" t="s">
        <v>330</v>
      </c>
    </row>
    <row r="128" spans="1:9" x14ac:dyDescent="0.25">
      <c r="A128" s="250" t="s">
        <v>243</v>
      </c>
      <c r="B128" s="278">
        <f t="shared" si="18"/>
        <v>1.0216614879916481</v>
      </c>
      <c r="C128" s="297">
        <f>C111*(D94/Conversions!$D$6)</f>
        <v>0.46102089916929412</v>
      </c>
      <c r="D128" s="298">
        <f t="shared" si="19"/>
        <v>0.37364143796563321</v>
      </c>
      <c r="E128" s="297">
        <f>E111*(($K$9+$K$10)/Conversions!$D$6)</f>
        <v>0</v>
      </c>
      <c r="F128" s="298">
        <f t="shared" ref="F128:F141" si="20">F111*$M$43</f>
        <v>0.25491674617804161</v>
      </c>
      <c r="G128" s="251" t="s">
        <v>330</v>
      </c>
    </row>
    <row r="129" spans="1:7" x14ac:dyDescent="0.25">
      <c r="A129" s="250" t="s">
        <v>245</v>
      </c>
      <c r="B129" s="278">
        <f t="shared" si="18"/>
        <v>1.0215394416109511</v>
      </c>
      <c r="C129" s="297">
        <f>C112*(D95/Conversions!$D$6)</f>
        <v>0.47906540795971581</v>
      </c>
      <c r="D129" s="298">
        <f t="shared" si="19"/>
        <v>0.37153624624474119</v>
      </c>
      <c r="E129" s="297">
        <f>E112*(($K$9+$K$10)/Conversions!$D$6)</f>
        <v>0</v>
      </c>
      <c r="F129" s="298">
        <f t="shared" si="20"/>
        <v>0.25348047983003524</v>
      </c>
      <c r="G129" s="251" t="s">
        <v>330</v>
      </c>
    </row>
    <row r="130" spans="1:7" x14ac:dyDescent="0.25">
      <c r="A130" s="250" t="s">
        <v>247</v>
      </c>
      <c r="B130" s="278">
        <f t="shared" si="18"/>
        <v>1.0213392143937816</v>
      </c>
      <c r="C130" s="297">
        <f>C113*(D96/Conversions!$D$6)</f>
        <v>0.46903968043061262</v>
      </c>
      <c r="D130" s="298">
        <f t="shared" si="19"/>
        <v>0.36808250449939495</v>
      </c>
      <c r="E130" s="297">
        <f>E113*(($K$9+$K$10)/Conversions!$D$6)</f>
        <v>0</v>
      </c>
      <c r="F130" s="298">
        <f t="shared" si="20"/>
        <v>0.25112416567854134</v>
      </c>
      <c r="G130" s="251" t="s">
        <v>330</v>
      </c>
    </row>
    <row r="131" spans="1:7" x14ac:dyDescent="0.25">
      <c r="A131" s="250" t="s">
        <v>249</v>
      </c>
      <c r="B131" s="278">
        <f t="shared" si="18"/>
        <v>1.0209813484627148</v>
      </c>
      <c r="C131" s="297">
        <f>C114*(D97/Conversions!$D$6)</f>
        <v>0.47794406676909784</v>
      </c>
      <c r="D131" s="298">
        <f t="shared" si="19"/>
        <v>0.3619096348823998</v>
      </c>
      <c r="E131" s="297">
        <f>E114*(($K$9+$K$10)/Conversions!$D$6)</f>
        <v>0</v>
      </c>
      <c r="F131" s="298">
        <f t="shared" si="20"/>
        <v>0.24691272744536971</v>
      </c>
      <c r="G131" s="251" t="s">
        <v>330</v>
      </c>
    </row>
    <row r="132" spans="1:7" x14ac:dyDescent="0.25">
      <c r="A132" s="250" t="s">
        <v>251</v>
      </c>
      <c r="B132" s="278">
        <f t="shared" si="18"/>
        <v>1.0208895014795805</v>
      </c>
      <c r="C132" s="297">
        <f>C115*(D98/Conversions!$D$6)</f>
        <v>0.48022939473931553</v>
      </c>
      <c r="D132" s="298">
        <f t="shared" si="19"/>
        <v>0.36032535596008325</v>
      </c>
      <c r="E132" s="297">
        <f>E115*(($K$9+$K$10)/Conversions!$D$6)</f>
        <v>0</v>
      </c>
      <c r="F132" s="298">
        <f t="shared" si="20"/>
        <v>0.24583185368009822</v>
      </c>
      <c r="G132" s="251" t="s">
        <v>330</v>
      </c>
    </row>
    <row r="133" spans="1:7" x14ac:dyDescent="0.25">
      <c r="A133" s="250" t="s">
        <v>253</v>
      </c>
      <c r="B133" s="278">
        <f t="shared" si="18"/>
        <v>1.0205924293708584</v>
      </c>
      <c r="C133" s="297">
        <f>C116*(D99/Conversions!$D$6)</f>
        <v>0.487621114925052</v>
      </c>
      <c r="D133" s="298">
        <f t="shared" si="19"/>
        <v>0.35520112580907837</v>
      </c>
      <c r="E133" s="297">
        <f>E116*(($K$9+$K$10)/Conversions!$D$6)</f>
        <v>0</v>
      </c>
      <c r="F133" s="298">
        <f t="shared" si="20"/>
        <v>0.24233584937213459</v>
      </c>
      <c r="G133" s="251" t="s">
        <v>330</v>
      </c>
    </row>
    <row r="134" spans="1:7" x14ac:dyDescent="0.25">
      <c r="A134" s="250" t="s">
        <v>255</v>
      </c>
      <c r="B134" s="278">
        <f t="shared" si="18"/>
        <v>1.0205000304920484</v>
      </c>
      <c r="C134" s="297">
        <f>C117*(D100/Conversions!$D$6)</f>
        <v>0.5006328338752758</v>
      </c>
      <c r="D134" s="298">
        <f t="shared" si="19"/>
        <v>0.35360732717630533</v>
      </c>
      <c r="E134" s="297">
        <f>E117*(($K$9+$K$10)/Conversions!$D$6)</f>
        <v>0</v>
      </c>
      <c r="F134" s="298">
        <f t="shared" si="20"/>
        <v>0.4824969615751713</v>
      </c>
      <c r="G134" s="251" t="s">
        <v>330</v>
      </c>
    </row>
    <row r="135" spans="1:7" x14ac:dyDescent="0.25">
      <c r="A135" s="250" t="s">
        <v>257</v>
      </c>
      <c r="B135" s="278">
        <f t="shared" si="18"/>
        <v>1.0203056272507587</v>
      </c>
      <c r="C135" s="297">
        <f>C118*(D101/Conversions!$D$6)</f>
        <v>0.49475729822267461</v>
      </c>
      <c r="D135" s="298">
        <f t="shared" si="19"/>
        <v>0.35025404384467479</v>
      </c>
      <c r="E135" s="297">
        <f>E118*(($K$9+$K$10)/Conversions!$D$6)</f>
        <v>0</v>
      </c>
      <c r="F135" s="298">
        <f t="shared" si="20"/>
        <v>0.23896070435527536</v>
      </c>
      <c r="G135" s="251" t="s">
        <v>330</v>
      </c>
    </row>
    <row r="136" spans="1:7" x14ac:dyDescent="0.25">
      <c r="A136" s="250" t="s">
        <v>259</v>
      </c>
      <c r="B136" s="278">
        <f t="shared" si="18"/>
        <v>1.0201755491181688</v>
      </c>
      <c r="C136" s="297">
        <f>C119*(D102/Conversions!$D$6)</f>
        <v>0.49799389004720851</v>
      </c>
      <c r="D136" s="298">
        <f t="shared" si="19"/>
        <v>0.34801031153378797</v>
      </c>
      <c r="E136" s="297">
        <f>E119*(($K$9+$K$10)/Conversions!$D$6)</f>
        <v>0</v>
      </c>
      <c r="F136" s="298">
        <f t="shared" si="20"/>
        <v>0.23742991873604641</v>
      </c>
      <c r="G136" s="251" t="s">
        <v>330</v>
      </c>
    </row>
    <row r="137" spans="1:7" x14ac:dyDescent="0.25">
      <c r="A137" s="250" t="s">
        <v>261</v>
      </c>
      <c r="B137" s="278">
        <f t="shared" si="18"/>
        <v>1.0200524650042935</v>
      </c>
      <c r="C137" s="297">
        <f>C120*(D103/Conversions!$D$6)</f>
        <v>0.50105645735785376</v>
      </c>
      <c r="D137" s="298">
        <f t="shared" si="19"/>
        <v>0.3458872198368142</v>
      </c>
      <c r="E137" s="297">
        <f>E120*(($K$9+$K$10)/Conversions!$D$6)</f>
        <v>0</v>
      </c>
      <c r="F137" s="298">
        <f t="shared" si="20"/>
        <v>0.23598144013534059</v>
      </c>
      <c r="G137" s="251" t="s">
        <v>330</v>
      </c>
    </row>
    <row r="138" spans="1:7" x14ac:dyDescent="0.25">
      <c r="A138" s="250" t="s">
        <v>263</v>
      </c>
      <c r="B138" s="278">
        <f t="shared" si="18"/>
        <v>1.0199648452499002</v>
      </c>
      <c r="C138" s="297">
        <f>C121*(D104/Conversions!$D$6)</f>
        <v>0.50323660382129298</v>
      </c>
      <c r="D138" s="298">
        <f t="shared" si="19"/>
        <v>0.34437585685758243</v>
      </c>
      <c r="E138" s="297">
        <f>E121*(($K$9+$K$10)/Conversions!$D$6)</f>
        <v>0</v>
      </c>
      <c r="F138" s="298">
        <f t="shared" si="20"/>
        <v>0.23495031324786955</v>
      </c>
      <c r="G138" s="251" t="s">
        <v>330</v>
      </c>
    </row>
    <row r="139" spans="1:7" x14ac:dyDescent="0.25">
      <c r="A139" s="250" t="s">
        <v>265</v>
      </c>
      <c r="B139" s="278">
        <f t="shared" si="18"/>
        <v>1.0197533009051987</v>
      </c>
      <c r="C139" s="297">
        <f>C122*(D105/Conversions!$D$6)</f>
        <v>0.50850023025069924</v>
      </c>
      <c r="D139" s="298">
        <f t="shared" si="19"/>
        <v>0.34072690470903716</v>
      </c>
      <c r="E139" s="297">
        <f>E122*(($K$9+$K$10)/Conversions!$D$6)</f>
        <v>0</v>
      </c>
      <c r="F139" s="298">
        <f t="shared" si="20"/>
        <v>0.23246081686403403</v>
      </c>
      <c r="G139" s="251" t="s">
        <v>330</v>
      </c>
    </row>
    <row r="140" spans="1:7" x14ac:dyDescent="0.25">
      <c r="A140" s="250" t="s">
        <v>267</v>
      </c>
      <c r="B140" s="278">
        <f t="shared" si="18"/>
        <v>1.0196555533893581</v>
      </c>
      <c r="C140" s="297">
        <f>C123*(D106/Conversions!$D$6)</f>
        <v>0.51093237471909336</v>
      </c>
      <c r="D140" s="298">
        <f t="shared" si="19"/>
        <v>0.33904084683571634</v>
      </c>
      <c r="E140" s="297">
        <f>E123*(($K$9+$K$10)/Conversions!$D$6)</f>
        <v>0</v>
      </c>
      <c r="F140" s="298">
        <f t="shared" si="20"/>
        <v>0.23131050444345516</v>
      </c>
      <c r="G140" s="251" t="s">
        <v>330</v>
      </c>
    </row>
    <row r="141" spans="1:7" x14ac:dyDescent="0.25">
      <c r="A141" s="250" t="s">
        <v>269</v>
      </c>
      <c r="B141" s="278">
        <f t="shared" si="18"/>
        <v>1.0252317627710206</v>
      </c>
      <c r="C141" s="297">
        <f>C124*(D107/Conversions!$D$6)</f>
        <v>0.37218565890109567</v>
      </c>
      <c r="D141" s="298">
        <f t="shared" si="19"/>
        <v>0.43522550841414226</v>
      </c>
      <c r="E141" s="297">
        <f>E124*(($K$9+$K$10)/Conversions!$D$6)</f>
        <v>0</v>
      </c>
      <c r="F141" s="298">
        <f t="shared" si="20"/>
        <v>0.29693245765963894</v>
      </c>
      <c r="G141" s="251" t="s">
        <v>330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46"/>
  <sheetViews>
    <sheetView workbookViewId="0">
      <selection activeCell="I16" sqref="I16"/>
    </sheetView>
  </sheetViews>
  <sheetFormatPr defaultRowHeight="15" x14ac:dyDescent="0.25"/>
  <cols>
    <col min="1" max="1" width="46" style="234" customWidth="1"/>
    <col min="2" max="3" width="11" style="234" customWidth="1"/>
    <col min="4" max="4" width="22.85546875" style="234" customWidth="1"/>
    <col min="5" max="6" width="11" style="234" customWidth="1"/>
    <col min="7" max="8" width="9.140625" style="234" customWidth="1"/>
    <col min="9" max="9" width="19" style="233"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8" t="s">
        <v>19</v>
      </c>
      <c r="I1" s="219"/>
    </row>
    <row r="2" spans="1:9" s="225" customFormat="1" ht="18" customHeight="1" x14ac:dyDescent="0.25">
      <c r="A2" s="220" t="s">
        <v>19</v>
      </c>
      <c r="B2" s="221" t="s">
        <v>229</v>
      </c>
      <c r="C2" s="222"/>
      <c r="D2" s="223"/>
      <c r="E2" s="223"/>
      <c r="F2" s="223"/>
      <c r="G2" s="223"/>
      <c r="H2" s="223"/>
      <c r="I2" s="224" t="s">
        <v>64</v>
      </c>
    </row>
    <row r="3" spans="1:9" s="225" customFormat="1" x14ac:dyDescent="0.2">
      <c r="A3" s="226" t="s">
        <v>230</v>
      </c>
      <c r="C3" s="227"/>
      <c r="I3" s="228"/>
    </row>
    <row r="4" spans="1:9" s="225" customFormat="1" ht="12.75" x14ac:dyDescent="0.2">
      <c r="A4" s="229" t="s">
        <v>231</v>
      </c>
      <c r="B4" s="229" t="s">
        <v>60</v>
      </c>
      <c r="C4" s="229" t="s">
        <v>72</v>
      </c>
      <c r="D4" s="229" t="s">
        <v>232</v>
      </c>
      <c r="E4" s="230" t="s">
        <v>22</v>
      </c>
      <c r="F4" s="231"/>
      <c r="G4" s="231"/>
      <c r="H4" s="231"/>
      <c r="I4" s="232"/>
    </row>
    <row r="5" spans="1:9" x14ac:dyDescent="0.25">
      <c r="A5"/>
      <c r="B5"/>
      <c r="C5"/>
      <c r="D5"/>
      <c r="E5"/>
      <c r="F5"/>
      <c r="G5"/>
      <c r="H5"/>
    </row>
    <row r="6" spans="1:9" x14ac:dyDescent="0.25">
      <c r="A6" s="234" t="s">
        <v>534</v>
      </c>
      <c r="B6" s="234">
        <v>20</v>
      </c>
      <c r="C6" s="234" t="s">
        <v>344</v>
      </c>
    </row>
    <row r="7" spans="1:9" x14ac:dyDescent="0.25">
      <c r="A7" s="234" t="s">
        <v>343</v>
      </c>
      <c r="B7" s="234">
        <v>900</v>
      </c>
      <c r="C7" s="234" t="s">
        <v>344</v>
      </c>
      <c r="I7" s="233" t="s">
        <v>491</v>
      </c>
    </row>
    <row r="8" spans="1:9" x14ac:dyDescent="0.25">
      <c r="A8" s="234" t="s">
        <v>345</v>
      </c>
      <c r="B8" s="234">
        <v>2</v>
      </c>
      <c r="C8" s="234" t="s">
        <v>346</v>
      </c>
    </row>
    <row r="9" spans="1:9" x14ac:dyDescent="0.25">
      <c r="A9" s="234" t="s">
        <v>347</v>
      </c>
      <c r="B9" s="234">
        <v>1</v>
      </c>
      <c r="C9" s="234" t="s">
        <v>346</v>
      </c>
    </row>
    <row r="11" spans="1:9" x14ac:dyDescent="0.25">
      <c r="A11" s="234" t="s">
        <v>343</v>
      </c>
      <c r="B11" s="234">
        <v>1000</v>
      </c>
      <c r="C11" s="234" t="s">
        <v>344</v>
      </c>
      <c r="I11" s="233" t="s">
        <v>499</v>
      </c>
    </row>
    <row r="12" spans="1:9" x14ac:dyDescent="0.25">
      <c r="A12" s="234" t="s">
        <v>345</v>
      </c>
    </row>
    <row r="13" spans="1:9" x14ac:dyDescent="0.25">
      <c r="A13" s="234" t="s">
        <v>347</v>
      </c>
      <c r="B13" s="234">
        <v>1</v>
      </c>
      <c r="C13" s="234" t="s">
        <v>348</v>
      </c>
    </row>
    <row r="15" spans="1:9" x14ac:dyDescent="0.25">
      <c r="A15" s="250" t="s">
        <v>403</v>
      </c>
      <c r="B15" s="250">
        <v>6.5000000000000002E-2</v>
      </c>
      <c r="C15" s="250" t="s">
        <v>404</v>
      </c>
      <c r="D15" s="250"/>
      <c r="E15" s="250"/>
      <c r="I15" s="233" t="s">
        <v>526</v>
      </c>
    </row>
    <row r="16" spans="1:9" x14ac:dyDescent="0.25">
      <c r="A16" s="250"/>
      <c r="B16" s="250">
        <f>B15*Conversions!$D$4</f>
        <v>0.87913671810820238</v>
      </c>
      <c r="C16" s="250" t="s">
        <v>405</v>
      </c>
      <c r="D16" s="250"/>
      <c r="E16" s="250"/>
    </row>
    <row r="17" spans="1:27" x14ac:dyDescent="0.25">
      <c r="A17" s="250" t="s">
        <v>406</v>
      </c>
      <c r="B17" s="250">
        <v>6</v>
      </c>
      <c r="C17" s="250">
        <v>3</v>
      </c>
      <c r="D17" s="250">
        <v>12</v>
      </c>
      <c r="E17" s="250" t="s">
        <v>407</v>
      </c>
    </row>
    <row r="18" spans="1:27" x14ac:dyDescent="0.25">
      <c r="A18" s="250"/>
      <c r="B18" s="250">
        <f>B17*Conversions!$D$5</f>
        <v>0.15239999999999998</v>
      </c>
      <c r="C18" s="250">
        <f>C17*Conversions!$D$5</f>
        <v>7.619999999999999E-2</v>
      </c>
      <c r="D18" s="250">
        <f>D17*Conversions!$D$5</f>
        <v>0.30479999999999996</v>
      </c>
      <c r="E18" s="250" t="s">
        <v>408</v>
      </c>
    </row>
    <row r="19" spans="1:27" x14ac:dyDescent="0.25">
      <c r="A19" s="250" t="s">
        <v>409</v>
      </c>
      <c r="B19" s="250"/>
      <c r="C19" s="250"/>
      <c r="D19" s="250"/>
      <c r="E19" s="250"/>
    </row>
    <row r="20" spans="1:27" x14ac:dyDescent="0.25">
      <c r="A20" s="250" t="s">
        <v>410</v>
      </c>
      <c r="B20" s="250"/>
      <c r="C20" s="250"/>
      <c r="D20" s="250"/>
      <c r="E20" s="250"/>
    </row>
    <row r="21" spans="1:27" x14ac:dyDescent="0.25">
      <c r="A21" s="275" t="s">
        <v>411</v>
      </c>
      <c r="B21" s="275">
        <f>$B$16/B18</f>
        <v>5.7686136358805937</v>
      </c>
      <c r="C21" s="275">
        <f t="shared" ref="C21:D21" si="0">$B$16/C18</f>
        <v>11.537227271761187</v>
      </c>
      <c r="D21" s="275">
        <f t="shared" si="0"/>
        <v>2.8843068179402969</v>
      </c>
      <c r="E21" s="275" t="s">
        <v>412</v>
      </c>
    </row>
    <row r="22" spans="1:27" x14ac:dyDescent="0.25">
      <c r="A22" s="234" t="s">
        <v>448</v>
      </c>
      <c r="B22" s="234">
        <f>B21*(B7-B6)*6*B9/Conversions!D7</f>
        <v>30.458279997449537</v>
      </c>
      <c r="C22" s="234" t="s">
        <v>447</v>
      </c>
      <c r="E22" s="234" t="s">
        <v>454</v>
      </c>
    </row>
    <row r="23" spans="1:27" x14ac:dyDescent="0.25">
      <c r="A23" s="234" t="s">
        <v>449</v>
      </c>
      <c r="B23" s="234">
        <f>B21*(B11-B6)*6*B13/Conversions!D7</f>
        <v>33.919448178977888</v>
      </c>
      <c r="C23" s="234" t="s">
        <v>447</v>
      </c>
      <c r="E23" s="234" t="s">
        <v>454</v>
      </c>
    </row>
    <row r="25" spans="1:27" x14ac:dyDescent="0.25">
      <c r="A25" s="234" t="s">
        <v>508</v>
      </c>
    </row>
    <row r="26" spans="1:27" x14ac:dyDescent="0.25">
      <c r="A26" s="234" t="s">
        <v>384</v>
      </c>
      <c r="B26" s="234" t="s">
        <v>355</v>
      </c>
      <c r="D26" s="234" t="s">
        <v>356</v>
      </c>
      <c r="E26" s="234" t="s">
        <v>357</v>
      </c>
      <c r="G26" s="234" t="s">
        <v>358</v>
      </c>
      <c r="I26" s="233" t="s">
        <v>359</v>
      </c>
      <c r="M26">
        <v>3.9199999999999999E-2</v>
      </c>
      <c r="N26" t="s">
        <v>360</v>
      </c>
      <c r="O26">
        <v>47.998199999999997</v>
      </c>
      <c r="P26" t="s">
        <v>241</v>
      </c>
      <c r="Q26" t="s">
        <v>361</v>
      </c>
    </row>
    <row r="27" spans="1:27" x14ac:dyDescent="0.25">
      <c r="A27" s="234" t="s">
        <v>362</v>
      </c>
      <c r="B27" s="234">
        <v>0.19900000000000001</v>
      </c>
      <c r="C27" s="234" t="s">
        <v>363</v>
      </c>
      <c r="D27" s="234" t="s">
        <v>509</v>
      </c>
      <c r="E27" s="234">
        <f>2*material_input_output!K19/E33</f>
        <v>0.38682472491233943</v>
      </c>
      <c r="F27" s="234" t="s">
        <v>241</v>
      </c>
      <c r="G27" s="234">
        <f>B27*E27</f>
        <v>7.6978120257555557E-2</v>
      </c>
      <c r="H27" s="234" t="s">
        <v>364</v>
      </c>
    </row>
    <row r="28" spans="1:27" x14ac:dyDescent="0.25">
      <c r="A28" s="234" t="s">
        <v>344</v>
      </c>
      <c r="B28" s="234">
        <v>0.91800000000000004</v>
      </c>
      <c r="C28" s="234" t="s">
        <v>363</v>
      </c>
      <c r="D28" s="234" t="s">
        <v>510</v>
      </c>
      <c r="E28" s="234">
        <f>3*(2*material_input_output!$K$9)/E33</f>
        <v>9.9475485815423675E-2</v>
      </c>
      <c r="F28" s="234" t="s">
        <v>241</v>
      </c>
      <c r="G28" s="234">
        <f>B28*E28</f>
        <v>9.1318495978558942E-2</v>
      </c>
      <c r="H28" s="234" t="s">
        <v>364</v>
      </c>
      <c r="I28" s="233" t="s">
        <v>365</v>
      </c>
      <c r="J28">
        <v>30.032350000000001</v>
      </c>
      <c r="K28" s="284" t="s">
        <v>366</v>
      </c>
      <c r="L28">
        <v>8.7729719999999993</v>
      </c>
      <c r="M28" s="284" t="s">
        <v>344</v>
      </c>
      <c r="N28">
        <v>-3.9881329999999999</v>
      </c>
      <c r="O28" t="s">
        <v>367</v>
      </c>
      <c r="P28">
        <v>0.78831300000000004</v>
      </c>
      <c r="Q28" t="s">
        <v>368</v>
      </c>
      <c r="R28">
        <v>-0.74159900000000001</v>
      </c>
      <c r="S28" t="s">
        <v>369</v>
      </c>
      <c r="T28">
        <v>1273</v>
      </c>
      <c r="U28" t="s">
        <v>370</v>
      </c>
      <c r="V28" t="s">
        <v>371</v>
      </c>
      <c r="W28">
        <f>J28+L28*T28/1000+N28*(T28/1000)^2+P28*(T28/1000)^3+R28/((T28/1000)^2)</f>
        <v>35.906067679131027</v>
      </c>
      <c r="X28" t="s">
        <v>372</v>
      </c>
      <c r="Y28">
        <f>W28/(2*material_input_output!$K$10)</f>
        <v>1.1221066939738686</v>
      </c>
      <c r="Z28" t="s">
        <v>364</v>
      </c>
    </row>
    <row r="29" spans="1:27" x14ac:dyDescent="0.25">
      <c r="A29" s="234" t="s">
        <v>385</v>
      </c>
      <c r="B29" s="234">
        <f>AVERAGE(Y28:Y29)</f>
        <v>1.0279141750985408</v>
      </c>
      <c r="C29" s="234" t="s">
        <v>363</v>
      </c>
      <c r="D29" s="234" t="s">
        <v>506</v>
      </c>
      <c r="E29" s="234">
        <f>3*(4*material_input_output!$K$10)/E33</f>
        <v>0.26502170360683214</v>
      </c>
      <c r="F29" s="234" t="s">
        <v>241</v>
      </c>
      <c r="G29" s="234">
        <f>B29*E29</f>
        <v>0.27241956584622684</v>
      </c>
      <c r="H29" s="234" t="s">
        <v>364</v>
      </c>
      <c r="I29" s="233" t="s">
        <v>365</v>
      </c>
      <c r="J29">
        <v>31.322340000000001</v>
      </c>
      <c r="K29" t="s">
        <v>366</v>
      </c>
      <c r="L29">
        <v>-20.235309999999998</v>
      </c>
      <c r="M29" t="s">
        <v>344</v>
      </c>
      <c r="N29">
        <v>57.866439999999997</v>
      </c>
      <c r="O29" t="s">
        <v>367</v>
      </c>
      <c r="P29">
        <v>-36.506239999999998</v>
      </c>
      <c r="Q29" t="s">
        <v>368</v>
      </c>
      <c r="R29">
        <v>-7.3740000000000003E-3</v>
      </c>
      <c r="S29" t="s">
        <v>369</v>
      </c>
      <c r="T29">
        <v>373</v>
      </c>
      <c r="U29" t="s">
        <v>370</v>
      </c>
      <c r="V29" t="s">
        <v>371</v>
      </c>
      <c r="W29">
        <f>J29+L29*T29/1000+N29*(T29/1000)^2+P29*(T29/1000)^3+R29/((T29/1000)^2)</f>
        <v>29.87797253315534</v>
      </c>
      <c r="X29" t="s">
        <v>372</v>
      </c>
      <c r="Y29">
        <f>W29/(2*material_input_output!$K$10)</f>
        <v>0.93372165622321279</v>
      </c>
      <c r="Z29" t="s">
        <v>364</v>
      </c>
      <c r="AA29" t="s">
        <v>507</v>
      </c>
    </row>
    <row r="30" spans="1:27" x14ac:dyDescent="0.25">
      <c r="A30" s="234" t="s">
        <v>387</v>
      </c>
      <c r="B30" s="234">
        <f>AVERAGE(Y30:Y31)</f>
        <v>2.3268951009219041</v>
      </c>
      <c r="C30" s="234" t="s">
        <v>363</v>
      </c>
      <c r="D30" s="234" t="s">
        <v>506</v>
      </c>
      <c r="E30" s="234">
        <f>10*(material_input_output!$K$43)/E33</f>
        <v>0.24867808566540472</v>
      </c>
      <c r="F30" s="234" t="s">
        <v>241</v>
      </c>
      <c r="G30" s="234">
        <f>B30*E30</f>
        <v>0.5786478192414678</v>
      </c>
      <c r="H30" s="234" t="s">
        <v>364</v>
      </c>
      <c r="I30" s="233" t="s">
        <v>365</v>
      </c>
      <c r="J30">
        <v>30.091999999999999</v>
      </c>
      <c r="K30" t="s">
        <v>366</v>
      </c>
      <c r="L30">
        <v>6.8325139999999998</v>
      </c>
      <c r="M30" t="s">
        <v>344</v>
      </c>
      <c r="N30">
        <v>6.7934349999999997</v>
      </c>
      <c r="O30" t="s">
        <v>367</v>
      </c>
      <c r="P30">
        <v>-2.5344799999999998</v>
      </c>
      <c r="Q30" t="s">
        <v>368</v>
      </c>
      <c r="R30">
        <v>8.2139000000000004E-2</v>
      </c>
      <c r="S30" t="s">
        <v>369</v>
      </c>
      <c r="T30">
        <v>1273</v>
      </c>
      <c r="U30" t="s">
        <v>370</v>
      </c>
      <c r="V30" t="s">
        <v>371</v>
      </c>
      <c r="W30">
        <f>J30+L30*T30/1000+N30*(T30/1000)^2+P30*(T30/1000)^3+R30/((T30/1000)^2)</f>
        <v>44.620971797472727</v>
      </c>
      <c r="X30" t="s">
        <v>372</v>
      </c>
      <c r="Y30">
        <f>W30/material_input_output!K43</f>
        <v>2.4768403154140666</v>
      </c>
      <c r="Z30" t="s">
        <v>364</v>
      </c>
      <c r="AA30" t="s">
        <v>507</v>
      </c>
    </row>
    <row r="31" spans="1:27" x14ac:dyDescent="0.25">
      <c r="A31" s="234" t="s">
        <v>388</v>
      </c>
      <c r="B31" s="234">
        <f>Y32</f>
        <v>4.2536431796969563</v>
      </c>
      <c r="C31" s="234" t="s">
        <v>363</v>
      </c>
      <c r="D31" s="234" t="s">
        <v>506</v>
      </c>
      <c r="E31" s="234">
        <f>10*(material_input_output!$K$43)/E33</f>
        <v>0.24867808566540472</v>
      </c>
      <c r="F31" s="234" t="s">
        <v>241</v>
      </c>
      <c r="G31" s="234">
        <f>B31*E31</f>
        <v>1.0577878430307441</v>
      </c>
      <c r="H31" s="234" t="s">
        <v>364</v>
      </c>
      <c r="I31" s="233" t="s">
        <v>365</v>
      </c>
      <c r="J31">
        <v>30.091999999999999</v>
      </c>
      <c r="K31" t="s">
        <v>366</v>
      </c>
      <c r="L31">
        <v>6.8325139999999998</v>
      </c>
      <c r="M31" t="s">
        <v>344</v>
      </c>
      <c r="N31">
        <v>6.7934349999999997</v>
      </c>
      <c r="O31" t="s">
        <v>367</v>
      </c>
      <c r="P31">
        <v>-2.5344799999999998</v>
      </c>
      <c r="Q31" t="s">
        <v>368</v>
      </c>
      <c r="R31">
        <v>1.082139</v>
      </c>
      <c r="S31" t="s">
        <v>369</v>
      </c>
      <c r="T31">
        <v>500</v>
      </c>
      <c r="U31" t="s">
        <v>370</v>
      </c>
      <c r="V31" t="s">
        <v>371</v>
      </c>
      <c r="W31">
        <f>J31+L31*T31/1000+N31*(T31/1000)^2+P31*(T31/1000)^3+R31/((T31/1000)^2)</f>
        <v>39.21836175</v>
      </c>
      <c r="X31" t="s">
        <v>372</v>
      </c>
      <c r="Y31">
        <f>W31/material_input_output!K43</f>
        <v>2.1769498864297416</v>
      </c>
      <c r="Z31" t="s">
        <v>364</v>
      </c>
    </row>
    <row r="32" spans="1:27" x14ac:dyDescent="0.25">
      <c r="I32" s="233" t="s">
        <v>365</v>
      </c>
      <c r="J32">
        <v>-203.60599999999999</v>
      </c>
      <c r="K32" s="284" t="s">
        <v>366</v>
      </c>
      <c r="L32">
        <v>1523.29</v>
      </c>
      <c r="M32" s="284" t="s">
        <v>344</v>
      </c>
      <c r="N32">
        <v>-3196.413</v>
      </c>
      <c r="O32" t="s">
        <v>367</v>
      </c>
      <c r="P32">
        <v>2474.4549999999999</v>
      </c>
      <c r="Q32" t="s">
        <v>368</v>
      </c>
      <c r="R32">
        <v>3.8553259999999998</v>
      </c>
      <c r="T32">
        <f>AVERAGE(293,500)</f>
        <v>396.5</v>
      </c>
      <c r="U32" t="s">
        <v>370</v>
      </c>
      <c r="V32" t="s">
        <v>371</v>
      </c>
      <c r="W32">
        <f>J32+L32*T32/1000+N32*(T32/1000)^2+P32*(T32/1000)^3+R32/((T32/1000)^2)</f>
        <v>76.630572902330982</v>
      </c>
      <c r="X32" t="s">
        <v>372</v>
      </c>
      <c r="Y32">
        <f>W32/material_input_output!K43</f>
        <v>4.2536431796969563</v>
      </c>
      <c r="Z32" t="s">
        <v>364</v>
      </c>
    </row>
    <row r="33" spans="1:16" x14ac:dyDescent="0.25">
      <c r="E33" s="234">
        <f>2*material_input_output!K19+3*(2*material_input_output!$K$9+4*material_input_output!$K$10)+10*(material_input_output!$K$43)</f>
        <v>724.44180000000006</v>
      </c>
      <c r="F33" s="234" t="s">
        <v>241</v>
      </c>
      <c r="I33" s="233" t="s">
        <v>389</v>
      </c>
      <c r="J33">
        <v>7.55</v>
      </c>
      <c r="K33" t="s">
        <v>390</v>
      </c>
      <c r="N33" s="286" t="s">
        <v>391</v>
      </c>
      <c r="O33">
        <v>48.201000000000001</v>
      </c>
      <c r="P33" t="s">
        <v>390</v>
      </c>
    </row>
    <row r="34" spans="1:16" x14ac:dyDescent="0.25">
      <c r="F34" s="285" t="s">
        <v>386</v>
      </c>
      <c r="G34" s="234">
        <f>SUM(G27:G30)</f>
        <v>1.019364001323809</v>
      </c>
      <c r="H34" s="234" t="s">
        <v>364</v>
      </c>
    </row>
    <row r="35" spans="1:16" x14ac:dyDescent="0.25">
      <c r="F35" s="285" t="s">
        <v>392</v>
      </c>
      <c r="G35" s="234">
        <f>SUM(G27:G29,G31)</f>
        <v>1.4985040251130854</v>
      </c>
      <c r="H35" s="234" t="s">
        <v>364</v>
      </c>
    </row>
    <row r="37" spans="1:16" x14ac:dyDescent="0.25">
      <c r="A37" s="234" t="s">
        <v>393</v>
      </c>
      <c r="B37" s="234">
        <f>G35*(500-293)</f>
        <v>310.19033319840867</v>
      </c>
      <c r="C37" s="234" t="s">
        <v>394</v>
      </c>
    </row>
    <row r="38" spans="1:16" x14ac:dyDescent="0.25">
      <c r="A38" s="234" t="s">
        <v>395</v>
      </c>
      <c r="B38" s="234">
        <f>(O33-J33)/material_input_output!K43</f>
        <v>2.2564733936969064</v>
      </c>
      <c r="C38" s="234" t="s">
        <v>396</v>
      </c>
      <c r="D38" s="234">
        <f>B38*Conversions!D6</f>
        <v>2256.4733936969064</v>
      </c>
      <c r="E38" s="234" t="s">
        <v>397</v>
      </c>
    </row>
    <row r="39" spans="1:16" x14ac:dyDescent="0.25">
      <c r="A39" s="234" t="s">
        <v>398</v>
      </c>
      <c r="B39" s="234">
        <f>SUM(B37,D38)</f>
        <v>2566.663726895315</v>
      </c>
      <c r="C39" s="234" t="s">
        <v>397</v>
      </c>
    </row>
    <row r="40" spans="1:16" x14ac:dyDescent="0.25">
      <c r="A40" s="234" t="s">
        <v>399</v>
      </c>
      <c r="B40" s="234">
        <f>G34*(1273-500)</f>
        <v>787.96837302330437</v>
      </c>
      <c r="C40" s="234" t="s">
        <v>394</v>
      </c>
    </row>
    <row r="41" spans="1:16" x14ac:dyDescent="0.25">
      <c r="A41" s="234" t="s">
        <v>400</v>
      </c>
      <c r="B41" s="292">
        <f>SUM(B39:B40)</f>
        <v>3354.6320999186191</v>
      </c>
      <c r="C41" s="234" t="s">
        <v>397</v>
      </c>
    </row>
    <row r="42" spans="1:16" x14ac:dyDescent="0.25">
      <c r="A42" s="234" t="s">
        <v>402</v>
      </c>
      <c r="B42" s="234">
        <f>G34*(1173-500)</f>
        <v>686.0319728909235</v>
      </c>
    </row>
    <row r="43" spans="1:16" x14ac:dyDescent="0.25">
      <c r="A43" s="234" t="s">
        <v>401</v>
      </c>
      <c r="B43" s="292">
        <f>SUM(B39,B42)</f>
        <v>3252.6956997862385</v>
      </c>
      <c r="C43" s="234" t="s">
        <v>397</v>
      </c>
    </row>
    <row r="45" spans="1:16" x14ac:dyDescent="0.25">
      <c r="A45" s="234" t="s">
        <v>450</v>
      </c>
      <c r="B45" s="287">
        <f>B22+B43</f>
        <v>3283.1539797836881</v>
      </c>
      <c r="C45" s="287" t="s">
        <v>397</v>
      </c>
    </row>
    <row r="46" spans="1:16" x14ac:dyDescent="0.25">
      <c r="A46" s="234" t="s">
        <v>451</v>
      </c>
      <c r="B46" s="287">
        <f>B41+B23</f>
        <v>3388.5515480975969</v>
      </c>
      <c r="C46" s="287" t="s">
        <v>397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24" sqref="F24"/>
    </sheetView>
  </sheetViews>
  <sheetFormatPr defaultColWidth="9.140625" defaultRowHeight="12.75" x14ac:dyDescent="0.2"/>
  <cols>
    <col min="1" max="3" width="9.140625" style="234"/>
    <col min="4" max="4" width="13.42578125" style="234" bestFit="1" customWidth="1"/>
    <col min="5" max="5" width="16.42578125" style="234" bestFit="1" customWidth="1"/>
    <col min="6" max="6" width="23.42578125" style="234" customWidth="1"/>
    <col min="7" max="7" width="11" style="234" bestFit="1" customWidth="1"/>
    <col min="8" max="259" width="9.140625" style="234"/>
    <col min="260" max="260" width="13.42578125" style="234" bestFit="1" customWidth="1"/>
    <col min="261" max="261" width="16.42578125" style="234" bestFit="1" customWidth="1"/>
    <col min="262" max="262" width="23.42578125" style="234" customWidth="1"/>
    <col min="263" max="263" width="11" style="234" bestFit="1" customWidth="1"/>
    <col min="264" max="515" width="9.140625" style="234"/>
    <col min="516" max="516" width="13.42578125" style="234" bestFit="1" customWidth="1"/>
    <col min="517" max="517" width="16.42578125" style="234" bestFit="1" customWidth="1"/>
    <col min="518" max="518" width="23.42578125" style="234" customWidth="1"/>
    <col min="519" max="519" width="11" style="234" bestFit="1" customWidth="1"/>
    <col min="520" max="771" width="9.140625" style="234"/>
    <col min="772" max="772" width="13.42578125" style="234" bestFit="1" customWidth="1"/>
    <col min="773" max="773" width="16.42578125" style="234" bestFit="1" customWidth="1"/>
    <col min="774" max="774" width="23.42578125" style="234" customWidth="1"/>
    <col min="775" max="775" width="11" style="234" bestFit="1" customWidth="1"/>
    <col min="776" max="1027" width="9.140625" style="234"/>
    <col min="1028" max="1028" width="13.42578125" style="234" bestFit="1" customWidth="1"/>
    <col min="1029" max="1029" width="16.42578125" style="234" bestFit="1" customWidth="1"/>
    <col min="1030" max="1030" width="23.42578125" style="234" customWidth="1"/>
    <col min="1031" max="1031" width="11" style="234" bestFit="1" customWidth="1"/>
    <col min="1032" max="1283" width="9.140625" style="234"/>
    <col min="1284" max="1284" width="13.42578125" style="234" bestFit="1" customWidth="1"/>
    <col min="1285" max="1285" width="16.42578125" style="234" bestFit="1" customWidth="1"/>
    <col min="1286" max="1286" width="23.42578125" style="234" customWidth="1"/>
    <col min="1287" max="1287" width="11" style="234" bestFit="1" customWidth="1"/>
    <col min="1288" max="1539" width="9.140625" style="234"/>
    <col min="1540" max="1540" width="13.42578125" style="234" bestFit="1" customWidth="1"/>
    <col min="1541" max="1541" width="16.42578125" style="234" bestFit="1" customWidth="1"/>
    <col min="1542" max="1542" width="23.42578125" style="234" customWidth="1"/>
    <col min="1543" max="1543" width="11" style="234" bestFit="1" customWidth="1"/>
    <col min="1544" max="1795" width="9.140625" style="234"/>
    <col min="1796" max="1796" width="13.42578125" style="234" bestFit="1" customWidth="1"/>
    <col min="1797" max="1797" width="16.42578125" style="234" bestFit="1" customWidth="1"/>
    <col min="1798" max="1798" width="23.42578125" style="234" customWidth="1"/>
    <col min="1799" max="1799" width="11" style="234" bestFit="1" customWidth="1"/>
    <col min="1800" max="2051" width="9.140625" style="234"/>
    <col min="2052" max="2052" width="13.42578125" style="234" bestFit="1" customWidth="1"/>
    <col min="2053" max="2053" width="16.42578125" style="234" bestFit="1" customWidth="1"/>
    <col min="2054" max="2054" width="23.42578125" style="234" customWidth="1"/>
    <col min="2055" max="2055" width="11" style="234" bestFit="1" customWidth="1"/>
    <col min="2056" max="2307" width="9.140625" style="234"/>
    <col min="2308" max="2308" width="13.42578125" style="234" bestFit="1" customWidth="1"/>
    <col min="2309" max="2309" width="16.42578125" style="234" bestFit="1" customWidth="1"/>
    <col min="2310" max="2310" width="23.42578125" style="234" customWidth="1"/>
    <col min="2311" max="2311" width="11" style="234" bestFit="1" customWidth="1"/>
    <col min="2312" max="2563" width="9.140625" style="234"/>
    <col min="2564" max="2564" width="13.42578125" style="234" bestFit="1" customWidth="1"/>
    <col min="2565" max="2565" width="16.42578125" style="234" bestFit="1" customWidth="1"/>
    <col min="2566" max="2566" width="23.42578125" style="234" customWidth="1"/>
    <col min="2567" max="2567" width="11" style="234" bestFit="1" customWidth="1"/>
    <col min="2568" max="2819" width="9.140625" style="234"/>
    <col min="2820" max="2820" width="13.42578125" style="234" bestFit="1" customWidth="1"/>
    <col min="2821" max="2821" width="16.42578125" style="234" bestFit="1" customWidth="1"/>
    <col min="2822" max="2822" width="23.42578125" style="234" customWidth="1"/>
    <col min="2823" max="2823" width="11" style="234" bestFit="1" customWidth="1"/>
    <col min="2824" max="3075" width="9.140625" style="234"/>
    <col min="3076" max="3076" width="13.42578125" style="234" bestFit="1" customWidth="1"/>
    <col min="3077" max="3077" width="16.42578125" style="234" bestFit="1" customWidth="1"/>
    <col min="3078" max="3078" width="23.42578125" style="234" customWidth="1"/>
    <col min="3079" max="3079" width="11" style="234" bestFit="1" customWidth="1"/>
    <col min="3080" max="3331" width="9.140625" style="234"/>
    <col min="3332" max="3332" width="13.42578125" style="234" bestFit="1" customWidth="1"/>
    <col min="3333" max="3333" width="16.42578125" style="234" bestFit="1" customWidth="1"/>
    <col min="3334" max="3334" width="23.42578125" style="234" customWidth="1"/>
    <col min="3335" max="3335" width="11" style="234" bestFit="1" customWidth="1"/>
    <col min="3336" max="3587" width="9.140625" style="234"/>
    <col min="3588" max="3588" width="13.42578125" style="234" bestFit="1" customWidth="1"/>
    <col min="3589" max="3589" width="16.42578125" style="234" bestFit="1" customWidth="1"/>
    <col min="3590" max="3590" width="23.42578125" style="234" customWidth="1"/>
    <col min="3591" max="3591" width="11" style="234" bestFit="1" customWidth="1"/>
    <col min="3592" max="3843" width="9.140625" style="234"/>
    <col min="3844" max="3844" width="13.42578125" style="234" bestFit="1" customWidth="1"/>
    <col min="3845" max="3845" width="16.42578125" style="234" bestFit="1" customWidth="1"/>
    <col min="3846" max="3846" width="23.42578125" style="234" customWidth="1"/>
    <col min="3847" max="3847" width="11" style="234" bestFit="1" customWidth="1"/>
    <col min="3848" max="4099" width="9.140625" style="234"/>
    <col min="4100" max="4100" width="13.42578125" style="234" bestFit="1" customWidth="1"/>
    <col min="4101" max="4101" width="16.42578125" style="234" bestFit="1" customWidth="1"/>
    <col min="4102" max="4102" width="23.42578125" style="234" customWidth="1"/>
    <col min="4103" max="4103" width="11" style="234" bestFit="1" customWidth="1"/>
    <col min="4104" max="4355" width="9.140625" style="234"/>
    <col min="4356" max="4356" width="13.42578125" style="234" bestFit="1" customWidth="1"/>
    <col min="4357" max="4357" width="16.42578125" style="234" bestFit="1" customWidth="1"/>
    <col min="4358" max="4358" width="23.42578125" style="234" customWidth="1"/>
    <col min="4359" max="4359" width="11" style="234" bestFit="1" customWidth="1"/>
    <col min="4360" max="4611" width="9.140625" style="234"/>
    <col min="4612" max="4612" width="13.42578125" style="234" bestFit="1" customWidth="1"/>
    <col min="4613" max="4613" width="16.42578125" style="234" bestFit="1" customWidth="1"/>
    <col min="4614" max="4614" width="23.42578125" style="234" customWidth="1"/>
    <col min="4615" max="4615" width="11" style="234" bestFit="1" customWidth="1"/>
    <col min="4616" max="4867" width="9.140625" style="234"/>
    <col min="4868" max="4868" width="13.42578125" style="234" bestFit="1" customWidth="1"/>
    <col min="4869" max="4869" width="16.42578125" style="234" bestFit="1" customWidth="1"/>
    <col min="4870" max="4870" width="23.42578125" style="234" customWidth="1"/>
    <col min="4871" max="4871" width="11" style="234" bestFit="1" customWidth="1"/>
    <col min="4872" max="5123" width="9.140625" style="234"/>
    <col min="5124" max="5124" width="13.42578125" style="234" bestFit="1" customWidth="1"/>
    <col min="5125" max="5125" width="16.42578125" style="234" bestFit="1" customWidth="1"/>
    <col min="5126" max="5126" width="23.42578125" style="234" customWidth="1"/>
    <col min="5127" max="5127" width="11" style="234" bestFit="1" customWidth="1"/>
    <col min="5128" max="5379" width="9.140625" style="234"/>
    <col min="5380" max="5380" width="13.42578125" style="234" bestFit="1" customWidth="1"/>
    <col min="5381" max="5381" width="16.42578125" style="234" bestFit="1" customWidth="1"/>
    <col min="5382" max="5382" width="23.42578125" style="234" customWidth="1"/>
    <col min="5383" max="5383" width="11" style="234" bestFit="1" customWidth="1"/>
    <col min="5384" max="5635" width="9.140625" style="234"/>
    <col min="5636" max="5636" width="13.42578125" style="234" bestFit="1" customWidth="1"/>
    <col min="5637" max="5637" width="16.42578125" style="234" bestFit="1" customWidth="1"/>
    <col min="5638" max="5638" width="23.42578125" style="234" customWidth="1"/>
    <col min="5639" max="5639" width="11" style="234" bestFit="1" customWidth="1"/>
    <col min="5640" max="5891" width="9.140625" style="234"/>
    <col min="5892" max="5892" width="13.42578125" style="234" bestFit="1" customWidth="1"/>
    <col min="5893" max="5893" width="16.42578125" style="234" bestFit="1" customWidth="1"/>
    <col min="5894" max="5894" width="23.42578125" style="234" customWidth="1"/>
    <col min="5895" max="5895" width="11" style="234" bestFit="1" customWidth="1"/>
    <col min="5896" max="6147" width="9.140625" style="234"/>
    <col min="6148" max="6148" width="13.42578125" style="234" bestFit="1" customWidth="1"/>
    <col min="6149" max="6149" width="16.42578125" style="234" bestFit="1" customWidth="1"/>
    <col min="6150" max="6150" width="23.42578125" style="234" customWidth="1"/>
    <col min="6151" max="6151" width="11" style="234" bestFit="1" customWidth="1"/>
    <col min="6152" max="6403" width="9.140625" style="234"/>
    <col min="6404" max="6404" width="13.42578125" style="234" bestFit="1" customWidth="1"/>
    <col min="6405" max="6405" width="16.42578125" style="234" bestFit="1" customWidth="1"/>
    <col min="6406" max="6406" width="23.42578125" style="234" customWidth="1"/>
    <col min="6407" max="6407" width="11" style="234" bestFit="1" customWidth="1"/>
    <col min="6408" max="6659" width="9.140625" style="234"/>
    <col min="6660" max="6660" width="13.42578125" style="234" bestFit="1" customWidth="1"/>
    <col min="6661" max="6661" width="16.42578125" style="234" bestFit="1" customWidth="1"/>
    <col min="6662" max="6662" width="23.42578125" style="234" customWidth="1"/>
    <col min="6663" max="6663" width="11" style="234" bestFit="1" customWidth="1"/>
    <col min="6664" max="6915" width="9.140625" style="234"/>
    <col min="6916" max="6916" width="13.42578125" style="234" bestFit="1" customWidth="1"/>
    <col min="6917" max="6917" width="16.42578125" style="234" bestFit="1" customWidth="1"/>
    <col min="6918" max="6918" width="23.42578125" style="234" customWidth="1"/>
    <col min="6919" max="6919" width="11" style="234" bestFit="1" customWidth="1"/>
    <col min="6920" max="7171" width="9.140625" style="234"/>
    <col min="7172" max="7172" width="13.42578125" style="234" bestFit="1" customWidth="1"/>
    <col min="7173" max="7173" width="16.42578125" style="234" bestFit="1" customWidth="1"/>
    <col min="7174" max="7174" width="23.42578125" style="234" customWidth="1"/>
    <col min="7175" max="7175" width="11" style="234" bestFit="1" customWidth="1"/>
    <col min="7176" max="7427" width="9.140625" style="234"/>
    <col min="7428" max="7428" width="13.42578125" style="234" bestFit="1" customWidth="1"/>
    <col min="7429" max="7429" width="16.42578125" style="234" bestFit="1" customWidth="1"/>
    <col min="7430" max="7430" width="23.42578125" style="234" customWidth="1"/>
    <col min="7431" max="7431" width="11" style="234" bestFit="1" customWidth="1"/>
    <col min="7432" max="7683" width="9.140625" style="234"/>
    <col min="7684" max="7684" width="13.42578125" style="234" bestFit="1" customWidth="1"/>
    <col min="7685" max="7685" width="16.42578125" style="234" bestFit="1" customWidth="1"/>
    <col min="7686" max="7686" width="23.42578125" style="234" customWidth="1"/>
    <col min="7687" max="7687" width="11" style="234" bestFit="1" customWidth="1"/>
    <col min="7688" max="7939" width="9.140625" style="234"/>
    <col min="7940" max="7940" width="13.42578125" style="234" bestFit="1" customWidth="1"/>
    <col min="7941" max="7941" width="16.42578125" style="234" bestFit="1" customWidth="1"/>
    <col min="7942" max="7942" width="23.42578125" style="234" customWidth="1"/>
    <col min="7943" max="7943" width="11" style="234" bestFit="1" customWidth="1"/>
    <col min="7944" max="8195" width="9.140625" style="234"/>
    <col min="8196" max="8196" width="13.42578125" style="234" bestFit="1" customWidth="1"/>
    <col min="8197" max="8197" width="16.42578125" style="234" bestFit="1" customWidth="1"/>
    <col min="8198" max="8198" width="23.42578125" style="234" customWidth="1"/>
    <col min="8199" max="8199" width="11" style="234" bestFit="1" customWidth="1"/>
    <col min="8200" max="8451" width="9.140625" style="234"/>
    <col min="8452" max="8452" width="13.42578125" style="234" bestFit="1" customWidth="1"/>
    <col min="8453" max="8453" width="16.42578125" style="234" bestFit="1" customWidth="1"/>
    <col min="8454" max="8454" width="23.42578125" style="234" customWidth="1"/>
    <col min="8455" max="8455" width="11" style="234" bestFit="1" customWidth="1"/>
    <col min="8456" max="8707" width="9.140625" style="234"/>
    <col min="8708" max="8708" width="13.42578125" style="234" bestFit="1" customWidth="1"/>
    <col min="8709" max="8709" width="16.42578125" style="234" bestFit="1" customWidth="1"/>
    <col min="8710" max="8710" width="23.42578125" style="234" customWidth="1"/>
    <col min="8711" max="8711" width="11" style="234" bestFit="1" customWidth="1"/>
    <col min="8712" max="8963" width="9.140625" style="234"/>
    <col min="8964" max="8964" width="13.42578125" style="234" bestFit="1" customWidth="1"/>
    <col min="8965" max="8965" width="16.42578125" style="234" bestFit="1" customWidth="1"/>
    <col min="8966" max="8966" width="23.42578125" style="234" customWidth="1"/>
    <col min="8967" max="8967" width="11" style="234" bestFit="1" customWidth="1"/>
    <col min="8968" max="9219" width="9.140625" style="234"/>
    <col min="9220" max="9220" width="13.42578125" style="234" bestFit="1" customWidth="1"/>
    <col min="9221" max="9221" width="16.42578125" style="234" bestFit="1" customWidth="1"/>
    <col min="9222" max="9222" width="23.42578125" style="234" customWidth="1"/>
    <col min="9223" max="9223" width="11" style="234" bestFit="1" customWidth="1"/>
    <col min="9224" max="9475" width="9.140625" style="234"/>
    <col min="9476" max="9476" width="13.42578125" style="234" bestFit="1" customWidth="1"/>
    <col min="9477" max="9477" width="16.42578125" style="234" bestFit="1" customWidth="1"/>
    <col min="9478" max="9478" width="23.42578125" style="234" customWidth="1"/>
    <col min="9479" max="9479" width="11" style="234" bestFit="1" customWidth="1"/>
    <col min="9480" max="9731" width="9.140625" style="234"/>
    <col min="9732" max="9732" width="13.42578125" style="234" bestFit="1" customWidth="1"/>
    <col min="9733" max="9733" width="16.42578125" style="234" bestFit="1" customWidth="1"/>
    <col min="9734" max="9734" width="23.42578125" style="234" customWidth="1"/>
    <col min="9735" max="9735" width="11" style="234" bestFit="1" customWidth="1"/>
    <col min="9736" max="9987" width="9.140625" style="234"/>
    <col min="9988" max="9988" width="13.42578125" style="234" bestFit="1" customWidth="1"/>
    <col min="9989" max="9989" width="16.42578125" style="234" bestFit="1" customWidth="1"/>
    <col min="9990" max="9990" width="23.42578125" style="234" customWidth="1"/>
    <col min="9991" max="9991" width="11" style="234" bestFit="1" customWidth="1"/>
    <col min="9992" max="10243" width="9.140625" style="234"/>
    <col min="10244" max="10244" width="13.42578125" style="234" bestFit="1" customWidth="1"/>
    <col min="10245" max="10245" width="16.42578125" style="234" bestFit="1" customWidth="1"/>
    <col min="10246" max="10246" width="23.42578125" style="234" customWidth="1"/>
    <col min="10247" max="10247" width="11" style="234" bestFit="1" customWidth="1"/>
    <col min="10248" max="10499" width="9.140625" style="234"/>
    <col min="10500" max="10500" width="13.42578125" style="234" bestFit="1" customWidth="1"/>
    <col min="10501" max="10501" width="16.42578125" style="234" bestFit="1" customWidth="1"/>
    <col min="10502" max="10502" width="23.42578125" style="234" customWidth="1"/>
    <col min="10503" max="10503" width="11" style="234" bestFit="1" customWidth="1"/>
    <col min="10504" max="10755" width="9.140625" style="234"/>
    <col min="10756" max="10756" width="13.42578125" style="234" bestFit="1" customWidth="1"/>
    <col min="10757" max="10757" width="16.42578125" style="234" bestFit="1" customWidth="1"/>
    <col min="10758" max="10758" width="23.42578125" style="234" customWidth="1"/>
    <col min="10759" max="10759" width="11" style="234" bestFit="1" customWidth="1"/>
    <col min="10760" max="11011" width="9.140625" style="234"/>
    <col min="11012" max="11012" width="13.42578125" style="234" bestFit="1" customWidth="1"/>
    <col min="11013" max="11013" width="16.42578125" style="234" bestFit="1" customWidth="1"/>
    <col min="11014" max="11014" width="23.42578125" style="234" customWidth="1"/>
    <col min="11015" max="11015" width="11" style="234" bestFit="1" customWidth="1"/>
    <col min="11016" max="11267" width="9.140625" style="234"/>
    <col min="11268" max="11268" width="13.42578125" style="234" bestFit="1" customWidth="1"/>
    <col min="11269" max="11269" width="16.42578125" style="234" bestFit="1" customWidth="1"/>
    <col min="11270" max="11270" width="23.42578125" style="234" customWidth="1"/>
    <col min="11271" max="11271" width="11" style="234" bestFit="1" customWidth="1"/>
    <col min="11272" max="11523" width="9.140625" style="234"/>
    <col min="11524" max="11524" width="13.42578125" style="234" bestFit="1" customWidth="1"/>
    <col min="11525" max="11525" width="16.42578125" style="234" bestFit="1" customWidth="1"/>
    <col min="11526" max="11526" width="23.42578125" style="234" customWidth="1"/>
    <col min="11527" max="11527" width="11" style="234" bestFit="1" customWidth="1"/>
    <col min="11528" max="11779" width="9.140625" style="234"/>
    <col min="11780" max="11780" width="13.42578125" style="234" bestFit="1" customWidth="1"/>
    <col min="11781" max="11781" width="16.42578125" style="234" bestFit="1" customWidth="1"/>
    <col min="11782" max="11782" width="23.42578125" style="234" customWidth="1"/>
    <col min="11783" max="11783" width="11" style="234" bestFit="1" customWidth="1"/>
    <col min="11784" max="12035" width="9.140625" style="234"/>
    <col min="12036" max="12036" width="13.42578125" style="234" bestFit="1" customWidth="1"/>
    <col min="12037" max="12037" width="16.42578125" style="234" bestFit="1" customWidth="1"/>
    <col min="12038" max="12038" width="23.42578125" style="234" customWidth="1"/>
    <col min="12039" max="12039" width="11" style="234" bestFit="1" customWidth="1"/>
    <col min="12040" max="12291" width="9.140625" style="234"/>
    <col min="12292" max="12292" width="13.42578125" style="234" bestFit="1" customWidth="1"/>
    <col min="12293" max="12293" width="16.42578125" style="234" bestFit="1" customWidth="1"/>
    <col min="12294" max="12294" width="23.42578125" style="234" customWidth="1"/>
    <col min="12295" max="12295" width="11" style="234" bestFit="1" customWidth="1"/>
    <col min="12296" max="12547" width="9.140625" style="234"/>
    <col min="12548" max="12548" width="13.42578125" style="234" bestFit="1" customWidth="1"/>
    <col min="12549" max="12549" width="16.42578125" style="234" bestFit="1" customWidth="1"/>
    <col min="12550" max="12550" width="23.42578125" style="234" customWidth="1"/>
    <col min="12551" max="12551" width="11" style="234" bestFit="1" customWidth="1"/>
    <col min="12552" max="12803" width="9.140625" style="234"/>
    <col min="12804" max="12804" width="13.42578125" style="234" bestFit="1" customWidth="1"/>
    <col min="12805" max="12805" width="16.42578125" style="234" bestFit="1" customWidth="1"/>
    <col min="12806" max="12806" width="23.42578125" style="234" customWidth="1"/>
    <col min="12807" max="12807" width="11" style="234" bestFit="1" customWidth="1"/>
    <col min="12808" max="13059" width="9.140625" style="234"/>
    <col min="13060" max="13060" width="13.42578125" style="234" bestFit="1" customWidth="1"/>
    <col min="13061" max="13061" width="16.42578125" style="234" bestFit="1" customWidth="1"/>
    <col min="13062" max="13062" width="23.42578125" style="234" customWidth="1"/>
    <col min="13063" max="13063" width="11" style="234" bestFit="1" customWidth="1"/>
    <col min="13064" max="13315" width="9.140625" style="234"/>
    <col min="13316" max="13316" width="13.42578125" style="234" bestFit="1" customWidth="1"/>
    <col min="13317" max="13317" width="16.42578125" style="234" bestFit="1" customWidth="1"/>
    <col min="13318" max="13318" width="23.42578125" style="234" customWidth="1"/>
    <col min="13319" max="13319" width="11" style="234" bestFit="1" customWidth="1"/>
    <col min="13320" max="13571" width="9.140625" style="234"/>
    <col min="13572" max="13572" width="13.42578125" style="234" bestFit="1" customWidth="1"/>
    <col min="13573" max="13573" width="16.42578125" style="234" bestFit="1" customWidth="1"/>
    <col min="13574" max="13574" width="23.42578125" style="234" customWidth="1"/>
    <col min="13575" max="13575" width="11" style="234" bestFit="1" customWidth="1"/>
    <col min="13576" max="13827" width="9.140625" style="234"/>
    <col min="13828" max="13828" width="13.42578125" style="234" bestFit="1" customWidth="1"/>
    <col min="13829" max="13829" width="16.42578125" style="234" bestFit="1" customWidth="1"/>
    <col min="13830" max="13830" width="23.42578125" style="234" customWidth="1"/>
    <col min="13831" max="13831" width="11" style="234" bestFit="1" customWidth="1"/>
    <col min="13832" max="14083" width="9.140625" style="234"/>
    <col min="14084" max="14084" width="13.42578125" style="234" bestFit="1" customWidth="1"/>
    <col min="14085" max="14085" width="16.42578125" style="234" bestFit="1" customWidth="1"/>
    <col min="14086" max="14086" width="23.42578125" style="234" customWidth="1"/>
    <col min="14087" max="14087" width="11" style="234" bestFit="1" customWidth="1"/>
    <col min="14088" max="14339" width="9.140625" style="234"/>
    <col min="14340" max="14340" width="13.42578125" style="234" bestFit="1" customWidth="1"/>
    <col min="14341" max="14341" width="16.42578125" style="234" bestFit="1" customWidth="1"/>
    <col min="14342" max="14342" width="23.42578125" style="234" customWidth="1"/>
    <col min="14343" max="14343" width="11" style="234" bestFit="1" customWidth="1"/>
    <col min="14344" max="14595" width="9.140625" style="234"/>
    <col min="14596" max="14596" width="13.42578125" style="234" bestFit="1" customWidth="1"/>
    <col min="14597" max="14597" width="16.42578125" style="234" bestFit="1" customWidth="1"/>
    <col min="14598" max="14598" width="23.42578125" style="234" customWidth="1"/>
    <col min="14599" max="14599" width="11" style="234" bestFit="1" customWidth="1"/>
    <col min="14600" max="14851" width="9.140625" style="234"/>
    <col min="14852" max="14852" width="13.42578125" style="234" bestFit="1" customWidth="1"/>
    <col min="14853" max="14853" width="16.42578125" style="234" bestFit="1" customWidth="1"/>
    <col min="14854" max="14854" width="23.42578125" style="234" customWidth="1"/>
    <col min="14855" max="14855" width="11" style="234" bestFit="1" customWidth="1"/>
    <col min="14856" max="15107" width="9.140625" style="234"/>
    <col min="15108" max="15108" width="13.42578125" style="234" bestFit="1" customWidth="1"/>
    <col min="15109" max="15109" width="16.42578125" style="234" bestFit="1" customWidth="1"/>
    <col min="15110" max="15110" width="23.42578125" style="234" customWidth="1"/>
    <col min="15111" max="15111" width="11" style="234" bestFit="1" customWidth="1"/>
    <col min="15112" max="15363" width="9.140625" style="234"/>
    <col min="15364" max="15364" width="13.42578125" style="234" bestFit="1" customWidth="1"/>
    <col min="15365" max="15365" width="16.42578125" style="234" bestFit="1" customWidth="1"/>
    <col min="15366" max="15366" width="23.42578125" style="234" customWidth="1"/>
    <col min="15367" max="15367" width="11" style="234" bestFit="1" customWidth="1"/>
    <col min="15368" max="15619" width="9.140625" style="234"/>
    <col min="15620" max="15620" width="13.42578125" style="234" bestFit="1" customWidth="1"/>
    <col min="15621" max="15621" width="16.42578125" style="234" bestFit="1" customWidth="1"/>
    <col min="15622" max="15622" width="23.42578125" style="234" customWidth="1"/>
    <col min="15623" max="15623" width="11" style="234" bestFit="1" customWidth="1"/>
    <col min="15624" max="15875" width="9.140625" style="234"/>
    <col min="15876" max="15876" width="13.42578125" style="234" bestFit="1" customWidth="1"/>
    <col min="15877" max="15877" width="16.42578125" style="234" bestFit="1" customWidth="1"/>
    <col min="15878" max="15878" width="23.42578125" style="234" customWidth="1"/>
    <col min="15879" max="15879" width="11" style="234" bestFit="1" customWidth="1"/>
    <col min="15880" max="16131" width="9.140625" style="234"/>
    <col min="16132" max="16132" width="13.42578125" style="234" bestFit="1" customWidth="1"/>
    <col min="16133" max="16133" width="16.42578125" style="234" bestFit="1" customWidth="1"/>
    <col min="16134" max="16134" width="23.42578125" style="234" customWidth="1"/>
    <col min="16135" max="16135" width="11" style="234" bestFit="1" customWidth="1"/>
    <col min="16136" max="16384" width="9.140625" style="234"/>
  </cols>
  <sheetData>
    <row r="1" spans="1:38" ht="20.25" x14ac:dyDescent="0.3">
      <c r="A1" s="235"/>
      <c r="B1" s="236"/>
      <c r="C1" s="235"/>
      <c r="D1" s="236"/>
      <c r="E1" s="235"/>
      <c r="F1" s="235"/>
      <c r="G1" s="235"/>
      <c r="H1" s="78" t="s">
        <v>20</v>
      </c>
      <c r="I1" s="237"/>
      <c r="J1" s="237"/>
      <c r="K1" s="237"/>
      <c r="L1" s="237"/>
      <c r="M1" s="237"/>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row>
    <row r="2" spans="1:38" x14ac:dyDescent="0.2">
      <c r="A2" s="237"/>
      <c r="B2" s="404"/>
      <c r="C2" s="404"/>
      <c r="D2" s="404"/>
      <c r="E2" s="404"/>
      <c r="F2" s="238"/>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row>
    <row r="3" spans="1:38" x14ac:dyDescent="0.2">
      <c r="A3" s="237"/>
      <c r="B3" s="405" t="s">
        <v>233</v>
      </c>
      <c r="C3" s="405"/>
      <c r="D3" s="405"/>
      <c r="E3" s="405"/>
      <c r="F3" s="239" t="s">
        <v>64</v>
      </c>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row>
    <row r="4" spans="1:38" ht="15" x14ac:dyDescent="0.25">
      <c r="A4" s="237"/>
      <c r="B4" s="237">
        <v>1</v>
      </c>
      <c r="C4" s="250" t="s">
        <v>404</v>
      </c>
      <c r="D4" s="288">
        <f>CONVERT(1,"BTU","J")/CONVERT(1,"ft","m")/CONVERT(1,"F","K")</f>
        <v>13.525180278587728</v>
      </c>
      <c r="E4" s="250" t="s">
        <v>405</v>
      </c>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row>
    <row r="5" spans="1:38" x14ac:dyDescent="0.2">
      <c r="A5" s="237"/>
      <c r="B5" s="240">
        <v>1</v>
      </c>
      <c r="C5" s="234" t="s">
        <v>407</v>
      </c>
      <c r="D5" s="234">
        <f>CONVERT(1,"in","m")</f>
        <v>2.5399999999999999E-2</v>
      </c>
      <c r="E5" s="234" t="s">
        <v>408</v>
      </c>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row>
    <row r="6" spans="1:38" x14ac:dyDescent="0.2">
      <c r="A6" s="237"/>
      <c r="B6" s="241">
        <v>1</v>
      </c>
      <c r="C6" s="234" t="s">
        <v>42</v>
      </c>
      <c r="D6" s="234">
        <v>1000</v>
      </c>
      <c r="E6" s="234" t="s">
        <v>532</v>
      </c>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row>
    <row r="7" spans="1:38" x14ac:dyDescent="0.2">
      <c r="A7" s="237"/>
      <c r="B7" s="240">
        <v>1</v>
      </c>
      <c r="C7" s="234" t="s">
        <v>447</v>
      </c>
      <c r="D7" s="234">
        <v>1000</v>
      </c>
      <c r="E7" s="234" t="s">
        <v>533</v>
      </c>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row>
    <row r="8" spans="1:38" x14ac:dyDescent="0.2">
      <c r="A8" s="237"/>
      <c r="B8" s="241"/>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row>
    <row r="9" spans="1:38" x14ac:dyDescent="0.2">
      <c r="A9" s="237"/>
      <c r="B9" s="240"/>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row>
    <row r="10" spans="1:38" x14ac:dyDescent="0.2">
      <c r="A10" s="237"/>
      <c r="B10" s="242"/>
      <c r="C10" s="237"/>
      <c r="D10" s="237"/>
      <c r="E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row>
    <row r="11" spans="1:38" x14ac:dyDescent="0.2">
      <c r="A11" s="237"/>
      <c r="B11" s="243"/>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row>
    <row r="12" spans="1:38" x14ac:dyDescent="0.2">
      <c r="A12" s="237"/>
      <c r="B12" s="244"/>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38" x14ac:dyDescent="0.2">
      <c r="A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row>
    <row r="14" spans="1:38" x14ac:dyDescent="0.2">
      <c r="A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row>
    <row r="15" spans="1:38" x14ac:dyDescent="0.2">
      <c r="A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row>
    <row r="16" spans="1:38" x14ac:dyDescent="0.2">
      <c r="A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row>
    <row r="17" spans="1:38" x14ac:dyDescent="0.2">
      <c r="A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row>
    <row r="18" spans="1:38" x14ac:dyDescent="0.2">
      <c r="A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row>
    <row r="19" spans="1:38" x14ac:dyDescent="0.2">
      <c r="A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row>
    <row r="20" spans="1:38" x14ac:dyDescent="0.2">
      <c r="A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1:38" x14ac:dyDescent="0.2">
      <c r="A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row>
    <row r="22" spans="1:38" x14ac:dyDescent="0.2">
      <c r="A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row>
    <row r="23" spans="1:38" x14ac:dyDescent="0.2">
      <c r="A23" s="237"/>
      <c r="B23" s="237"/>
      <c r="C23" s="237"/>
      <c r="D23" s="237"/>
      <c r="E23" s="237"/>
      <c r="F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row>
    <row r="24" spans="1:38" x14ac:dyDescent="0.2">
      <c r="A24" s="237"/>
      <c r="B24" s="237"/>
      <c r="C24" s="237"/>
      <c r="D24" s="237"/>
      <c r="E24" s="237"/>
      <c r="F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row>
    <row r="25" spans="1:38" x14ac:dyDescent="0.2">
      <c r="A25" s="237"/>
      <c r="B25" s="199"/>
      <c r="C25" s="245"/>
      <c r="D25" s="199"/>
      <c r="E25" s="199"/>
      <c r="F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row>
    <row r="26" spans="1:38" x14ac:dyDescent="0.2">
      <c r="A26" s="237"/>
      <c r="B26" s="246"/>
      <c r="C26" s="247"/>
      <c r="D26" s="199"/>
      <c r="E26" s="199"/>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row>
    <row r="27" spans="1:38" x14ac:dyDescent="0.2">
      <c r="A27" s="237"/>
      <c r="B27" s="246"/>
      <c r="C27" s="247"/>
      <c r="D27" s="199"/>
      <c r="E27" s="199"/>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row>
    <row r="28" spans="1:38" x14ac:dyDescent="0.2">
      <c r="A28" s="237"/>
      <c r="B28" s="246"/>
      <c r="C28" s="247"/>
      <c r="D28" s="199"/>
      <c r="E28" s="199"/>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row>
    <row r="29" spans="1:38" x14ac:dyDescent="0.2">
      <c r="B29" s="246"/>
      <c r="C29" s="237"/>
      <c r="D29" s="237"/>
      <c r="E29" s="237"/>
    </row>
    <row r="30" spans="1:38" x14ac:dyDescent="0.2">
      <c r="B30" s="246"/>
      <c r="C30" s="237"/>
      <c r="D30" s="237"/>
      <c r="E30" s="237"/>
    </row>
    <row r="31" spans="1:38" x14ac:dyDescent="0.2">
      <c r="B31" s="243"/>
      <c r="C31" s="237"/>
      <c r="D31" s="237"/>
      <c r="E31" s="237"/>
    </row>
    <row r="37" spans="10:10" x14ac:dyDescent="0.2">
      <c r="J37" s="248"/>
    </row>
  </sheetData>
  <mergeCells count="2">
    <mergeCell ref="B2:E2"/>
    <mergeCell ref="B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D6" sqref="D6:L6"/>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8"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38" t="s">
        <v>234</v>
      </c>
      <c r="D3" s="238" t="s">
        <v>9</v>
      </c>
    </row>
    <row r="4" spans="1:38" ht="15" x14ac:dyDescent="0.2">
      <c r="C4" s="249">
        <v>1</v>
      </c>
      <c r="D4" s="406" t="s">
        <v>453</v>
      </c>
      <c r="E4" s="407"/>
      <c r="F4" s="407"/>
      <c r="G4" s="407"/>
      <c r="H4" s="407"/>
      <c r="I4" s="407"/>
      <c r="J4" s="407"/>
      <c r="K4" s="407"/>
      <c r="L4" s="407"/>
    </row>
    <row r="5" spans="1:38" ht="47.25" customHeight="1" x14ac:dyDescent="0.2">
      <c r="C5" s="249">
        <v>2</v>
      </c>
      <c r="D5" s="406" t="s">
        <v>536</v>
      </c>
      <c r="E5" s="407"/>
      <c r="F5" s="407"/>
      <c r="G5" s="407"/>
      <c r="H5" s="407"/>
      <c r="I5" s="407"/>
      <c r="J5" s="407"/>
      <c r="K5" s="407"/>
      <c r="L5" s="407"/>
    </row>
    <row r="6" spans="1:38" ht="15" x14ac:dyDescent="0.2">
      <c r="C6" s="249"/>
      <c r="D6" s="406"/>
      <c r="E6" s="407"/>
      <c r="F6" s="407"/>
      <c r="G6" s="407"/>
      <c r="H6" s="407"/>
      <c r="I6" s="407"/>
      <c r="J6" s="407"/>
      <c r="K6" s="407"/>
      <c r="L6" s="407"/>
    </row>
    <row r="7" spans="1:38" ht="15" x14ac:dyDescent="0.2">
      <c r="C7" s="249"/>
      <c r="D7" s="406"/>
      <c r="E7" s="407"/>
      <c r="F7" s="407"/>
      <c r="G7" s="407"/>
      <c r="H7" s="407"/>
      <c r="I7" s="407"/>
      <c r="J7" s="407"/>
      <c r="K7" s="407"/>
      <c r="L7" s="407"/>
    </row>
    <row r="8" spans="1:38" ht="15" x14ac:dyDescent="0.2">
      <c r="C8" s="249"/>
      <c r="D8" s="406"/>
      <c r="E8" s="407"/>
      <c r="F8" s="407"/>
      <c r="G8" s="407"/>
      <c r="H8" s="407"/>
      <c r="I8" s="407"/>
      <c r="J8" s="407"/>
      <c r="K8" s="407"/>
      <c r="L8" s="407"/>
    </row>
    <row r="9" spans="1:38" ht="15" x14ac:dyDescent="0.2">
      <c r="C9" s="249"/>
      <c r="D9" s="406"/>
      <c r="E9" s="407"/>
      <c r="F9" s="407"/>
      <c r="G9" s="407"/>
      <c r="H9" s="407"/>
      <c r="I9" s="407"/>
      <c r="J9" s="407"/>
      <c r="K9" s="407"/>
      <c r="L9" s="407"/>
    </row>
    <row r="10" spans="1:38" ht="15" x14ac:dyDescent="0.2">
      <c r="C10" s="249"/>
      <c r="D10" s="406"/>
      <c r="E10" s="407"/>
      <c r="F10" s="407"/>
      <c r="G10" s="407"/>
      <c r="H10" s="407"/>
      <c r="I10" s="407"/>
      <c r="J10" s="407"/>
      <c r="K10" s="407"/>
      <c r="L10" s="407"/>
    </row>
    <row r="11" spans="1:38" ht="15" x14ac:dyDescent="0.2">
      <c r="C11" s="249"/>
      <c r="D11" s="406"/>
      <c r="E11" s="407"/>
      <c r="F11" s="407"/>
      <c r="G11" s="407"/>
      <c r="H11" s="407"/>
      <c r="I11" s="407"/>
      <c r="J11" s="407"/>
      <c r="K11" s="407"/>
      <c r="L11" s="407"/>
    </row>
    <row r="12" spans="1:38" ht="15" x14ac:dyDescent="0.2">
      <c r="C12" s="249"/>
      <c r="D12" s="406"/>
      <c r="E12" s="407"/>
      <c r="F12" s="407"/>
      <c r="G12" s="407"/>
      <c r="H12" s="407"/>
      <c r="I12" s="407"/>
      <c r="J12" s="407"/>
      <c r="K12" s="407"/>
      <c r="L12" s="407"/>
    </row>
    <row r="13" spans="1:38" ht="15" x14ac:dyDescent="0.2">
      <c r="C13" s="249"/>
      <c r="D13" s="406"/>
      <c r="E13" s="407"/>
      <c r="F13" s="407"/>
      <c r="G13" s="407"/>
      <c r="H13" s="407"/>
      <c r="I13" s="407"/>
      <c r="J13" s="407"/>
      <c r="K13" s="407"/>
      <c r="L13" s="407"/>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A2DB81-83FF-48D9-9284-3B465C4062A6}">
  <ds:schemaRefs>
    <ds:schemaRef ds:uri="http://purl.org/dc/terms/"/>
    <ds:schemaRef ds:uri="c75d1172-787a-498f-aaff-e17d79596d1f"/>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B7C11BB-92C6-4F63-BC92-E88CEDE51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2D1AB4-B993-490F-B215-5D4366444A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material_input_output</vt:lpstr>
      <vt:lpstr>energy</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DS_Stage1_O_Rare_earth_oxide_formation_2014.01</dc:title>
  <dc:creator>Matthew B. Jamieson</dc:creator>
  <cp:lastModifiedBy>Matthew B. Jamieson</cp:lastModifiedBy>
  <dcterms:created xsi:type="dcterms:W3CDTF">2014-06-10T15:17:36Z</dcterms:created>
  <dcterms:modified xsi:type="dcterms:W3CDTF">2014-12-19T16:48:56Z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