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10500" windowHeight="9555" activeTab="1"/>
  </bookViews>
  <sheets>
    <sheet name="Info" sheetId="1" r:id="rId1"/>
    <sheet name="Data Summary" sheetId="2" r:id="rId2"/>
    <sheet name="Reference Source Info" sheetId="4" r:id="rId3"/>
    <sheet name="DQI" sheetId="5" r:id="rId4"/>
    <sheet name="Calculations Sheet" sheetId="6" r:id="rId5"/>
    <sheet name="Conversions" sheetId="7" r:id="rId6"/>
    <sheet name="Assumptions" sheetId="8" r:id="rId7"/>
    <sheet name="Chart" sheetId="9" r:id="rId8"/>
  </sheets>
  <definedNames>
    <definedName name="solver_adj" localSheetId="1" hidden="1">'Data Summary'!$E$38</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'Data Summary'!$E$40</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0.9365</definedName>
    <definedName name="solver_ver" localSheetId="1" hidden="1">3</definedName>
  </definedNames>
  <calcPr calcId="145621"/>
</workbook>
</file>

<file path=xl/calcChain.xml><?xml version="1.0" encoding="utf-8"?>
<calcChain xmlns="http://schemas.openxmlformats.org/spreadsheetml/2006/main">
  <c r="B75" i="6" l="1"/>
  <c r="D6" i="7" l="1"/>
  <c r="B10" i="6"/>
  <c r="D5" i="7"/>
  <c r="E41" i="2" l="1"/>
  <c r="E39" i="2"/>
  <c r="E34" i="2" l="1"/>
  <c r="D42" i="2"/>
  <c r="K68" i="6"/>
  <c r="E42" i="2" l="1"/>
  <c r="D82" i="2" l="1"/>
  <c r="D119" i="6"/>
  <c r="D120" i="6"/>
  <c r="D121" i="6"/>
  <c r="E93" i="2"/>
  <c r="B93" i="2"/>
  <c r="B94" i="2"/>
  <c r="B95" i="2"/>
  <c r="B121" i="6"/>
  <c r="H137" i="2"/>
  <c r="B112" i="2"/>
  <c r="H124" i="2"/>
  <c r="B106" i="2"/>
  <c r="B105" i="2"/>
  <c r="B84" i="2"/>
  <c r="B83" i="2"/>
  <c r="E72" i="2"/>
  <c r="B120" i="6"/>
  <c r="B72" i="2"/>
  <c r="B111" i="2"/>
  <c r="H136" i="2"/>
  <c r="C120" i="2"/>
  <c r="H120" i="2" s="1"/>
  <c r="H135" i="2"/>
  <c r="H134" i="2"/>
  <c r="D57" i="2"/>
  <c r="B57" i="2"/>
  <c r="B104" i="2"/>
  <c r="B107" i="2"/>
  <c r="B108" i="2"/>
  <c r="B109" i="2"/>
  <c r="B110" i="2"/>
  <c r="B113" i="2"/>
  <c r="B102" i="2"/>
  <c r="B103" i="2"/>
  <c r="B101" i="2"/>
  <c r="B86" i="2"/>
  <c r="B85" i="2"/>
  <c r="B119" i="6"/>
  <c r="B80" i="2"/>
  <c r="B81" i="2"/>
  <c r="B82" i="2"/>
  <c r="B87" i="2"/>
  <c r="B88" i="2"/>
  <c r="B89" i="2"/>
  <c r="B90" i="2"/>
  <c r="B91" i="2"/>
  <c r="B92" i="2"/>
  <c r="B39" i="2"/>
  <c r="B96" i="2"/>
  <c r="B97" i="2"/>
  <c r="B98" i="2"/>
  <c r="B99" i="2"/>
  <c r="B100" i="2"/>
  <c r="H123" i="2"/>
  <c r="H132" i="2"/>
  <c r="H133" i="2"/>
  <c r="B41" i="2"/>
  <c r="K67" i="6"/>
  <c r="B38" i="2"/>
  <c r="B73" i="2"/>
  <c r="B74" i="2"/>
  <c r="B75" i="2"/>
  <c r="B76" i="2"/>
  <c r="B77" i="2"/>
  <c r="B78" i="2"/>
  <c r="B79" i="2"/>
  <c r="B113" i="6"/>
  <c r="D113" i="6"/>
  <c r="E67" i="2"/>
  <c r="B117" i="6"/>
  <c r="D117" i="6"/>
  <c r="E70" i="2"/>
  <c r="B116" i="6"/>
  <c r="D116" i="6"/>
  <c r="E69" i="2"/>
  <c r="B115" i="6"/>
  <c r="D115" i="6"/>
  <c r="E68" i="2"/>
  <c r="B112" i="6"/>
  <c r="D112" i="6"/>
  <c r="E66" i="2"/>
  <c r="B118" i="6"/>
  <c r="D118" i="6"/>
  <c r="E71" i="2"/>
  <c r="E65" i="2"/>
  <c r="E64" i="2"/>
  <c r="E63" i="2"/>
  <c r="E62" i="2"/>
  <c r="E61" i="2"/>
  <c r="E60" i="2"/>
  <c r="E59" i="2"/>
  <c r="B59" i="2"/>
  <c r="B60" i="2"/>
  <c r="B61" i="2"/>
  <c r="B62" i="2"/>
  <c r="B63" i="2"/>
  <c r="B64" i="2"/>
  <c r="B65" i="2"/>
  <c r="B66" i="2"/>
  <c r="B67" i="2"/>
  <c r="B68" i="2"/>
  <c r="B69" i="2"/>
  <c r="B70" i="2"/>
  <c r="B71" i="2"/>
  <c r="H119" i="2"/>
  <c r="G119" i="2"/>
  <c r="I119" i="2" s="1"/>
  <c r="H121" i="2"/>
  <c r="H122" i="2"/>
  <c r="B111" i="6"/>
  <c r="D111" i="6"/>
  <c r="E52" i="2"/>
  <c r="B110" i="6"/>
  <c r="D110" i="6"/>
  <c r="E51" i="2"/>
  <c r="B114" i="6"/>
  <c r="D114" i="6"/>
  <c r="E50" i="2"/>
  <c r="B76" i="6"/>
  <c r="B77" i="6"/>
  <c r="B78" i="6"/>
  <c r="B79" i="6"/>
  <c r="B80" i="6"/>
  <c r="B81" i="6"/>
  <c r="B82" i="6"/>
  <c r="B83" i="6"/>
  <c r="B84" i="6"/>
  <c r="B85" i="6"/>
  <c r="B86" i="6"/>
  <c r="B87" i="6"/>
  <c r="B88" i="6"/>
  <c r="B89" i="6"/>
  <c r="B51" i="2"/>
  <c r="B52" i="2"/>
  <c r="B53" i="2"/>
  <c r="B54" i="2"/>
  <c r="B55" i="2"/>
  <c r="B56" i="2"/>
  <c r="B58" i="2"/>
  <c r="A77" i="6"/>
  <c r="A78" i="6"/>
  <c r="A79" i="6"/>
  <c r="A80" i="6"/>
  <c r="A81" i="6"/>
  <c r="A82" i="6"/>
  <c r="A83" i="6"/>
  <c r="A84" i="6"/>
  <c r="A85" i="6"/>
  <c r="A86" i="6"/>
  <c r="A87" i="6"/>
  <c r="A88" i="6"/>
  <c r="A89" i="6"/>
  <c r="A76" i="6"/>
  <c r="B64" i="6"/>
  <c r="F64" i="6"/>
  <c r="B72" i="6"/>
  <c r="F72" i="6"/>
  <c r="F43" i="6"/>
  <c r="B59" i="6"/>
  <c r="F59" i="6"/>
  <c r="F44" i="6"/>
  <c r="B60" i="6"/>
  <c r="F60" i="6"/>
  <c r="F45" i="6"/>
  <c r="B61" i="6"/>
  <c r="F61" i="6"/>
  <c r="F46" i="6"/>
  <c r="B62" i="6"/>
  <c r="F62" i="6"/>
  <c r="F47" i="6"/>
  <c r="B63" i="6"/>
  <c r="F63" i="6"/>
  <c r="F48" i="6"/>
  <c r="F49" i="6"/>
  <c r="B65" i="6"/>
  <c r="F50" i="6"/>
  <c r="B66" i="6"/>
  <c r="F51" i="6"/>
  <c r="B67" i="6"/>
  <c r="F67" i="6"/>
  <c r="F52" i="6"/>
  <c r="B68" i="6"/>
  <c r="F68" i="6"/>
  <c r="F53" i="6"/>
  <c r="B69" i="6"/>
  <c r="F69" i="6"/>
  <c r="F54" i="6"/>
  <c r="B70" i="6"/>
  <c r="F70" i="6"/>
  <c r="F55" i="6"/>
  <c r="B71" i="6"/>
  <c r="F71" i="6"/>
  <c r="F56" i="6"/>
  <c r="F42" i="6"/>
  <c r="B58" i="6"/>
  <c r="D65" i="6"/>
  <c r="B99" i="6"/>
  <c r="D78" i="6"/>
  <c r="D77" i="6"/>
  <c r="D84" i="6"/>
  <c r="D76" i="6"/>
  <c r="D86" i="6"/>
  <c r="D85" i="6"/>
  <c r="D66" i="6"/>
  <c r="B100" i="6"/>
  <c r="F66" i="6"/>
  <c r="D63" i="6"/>
  <c r="B97" i="6"/>
  <c r="D72" i="6"/>
  <c r="B106" i="6"/>
  <c r="D71" i="6"/>
  <c r="B105" i="6"/>
  <c r="D70" i="6"/>
  <c r="B104" i="6"/>
  <c r="D69" i="6"/>
  <c r="B103" i="6"/>
  <c r="D61" i="6"/>
  <c r="B95" i="6"/>
  <c r="D68" i="6"/>
  <c r="B102" i="6"/>
  <c r="D60" i="6"/>
  <c r="B94" i="6"/>
  <c r="D89" i="6"/>
  <c r="D83" i="6"/>
  <c r="D67" i="6"/>
  <c r="B101" i="6"/>
  <c r="D59" i="6"/>
  <c r="B93" i="6"/>
  <c r="D81" i="6"/>
  <c r="D75" i="6"/>
  <c r="D82" i="6"/>
  <c r="F58" i="6"/>
  <c r="F65" i="6"/>
  <c r="F73" i="6"/>
  <c r="B73" i="6"/>
  <c r="D58" i="6"/>
  <c r="D64" i="6"/>
  <c r="B98" i="6"/>
  <c r="D62" i="6"/>
  <c r="B96" i="6"/>
  <c r="D88" i="6"/>
  <c r="D80" i="6"/>
  <c r="D87" i="6"/>
  <c r="D79" i="6"/>
  <c r="I73" i="6"/>
  <c r="D90" i="6"/>
  <c r="E40" i="2"/>
  <c r="E43" i="2" s="1"/>
  <c r="B92" i="6"/>
  <c r="B107" i="6"/>
  <c r="F94" i="6"/>
  <c r="D73" i="6"/>
  <c r="L73" i="6"/>
  <c r="B44" i="2"/>
  <c r="B45" i="2"/>
  <c r="B46" i="2"/>
  <c r="B47" i="2"/>
  <c r="B48" i="2"/>
  <c r="B49" i="2"/>
  <c r="B50" i="2"/>
  <c r="B32" i="2"/>
  <c r="B33" i="2"/>
  <c r="B34" i="2"/>
  <c r="B35" i="2"/>
  <c r="B36" i="2"/>
  <c r="B37" i="2"/>
  <c r="B42" i="2"/>
  <c r="B43" i="2"/>
  <c r="D12" i="6"/>
  <c r="C12" i="6"/>
  <c r="D15" i="6"/>
  <c r="F35" i="2" s="1"/>
  <c r="B12" i="6"/>
  <c r="E29" i="2"/>
  <c r="E31" i="2" s="1"/>
  <c r="B26" i="2"/>
  <c r="B27" i="2"/>
  <c r="B28" i="2"/>
  <c r="B29" i="2"/>
  <c r="B30" i="2"/>
  <c r="B15" i="6"/>
  <c r="E35" i="2"/>
  <c r="C15" i="6"/>
  <c r="G35" i="2"/>
  <c r="D131" i="2"/>
  <c r="I8" i="5"/>
  <c r="N5" i="2" s="1"/>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H138" i="2"/>
  <c r="H131" i="2"/>
  <c r="H125" i="2"/>
  <c r="B31" i="2"/>
  <c r="B25" i="2"/>
  <c r="B24" i="2"/>
  <c r="B23" i="2"/>
  <c r="G11" i="2"/>
  <c r="D4" i="1"/>
  <c r="D3" i="1"/>
  <c r="C25" i="1"/>
  <c r="E36" i="2" l="1"/>
  <c r="E49" i="2"/>
  <c r="E55" i="2" s="1"/>
  <c r="E73" i="2"/>
  <c r="G132" i="2" s="1"/>
  <c r="I132" i="2" s="1"/>
  <c r="E78" i="2"/>
  <c r="E57" i="2"/>
  <c r="E75" i="2"/>
  <c r="E48" i="2"/>
  <c r="E54" i="2" s="1"/>
  <c r="E108" i="2"/>
  <c r="E74" i="2"/>
  <c r="E47" i="2"/>
  <c r="E53" i="2" s="1"/>
  <c r="E80" i="2"/>
  <c r="E79" i="2"/>
  <c r="G133" i="2" s="1"/>
  <c r="I133" i="2" s="1"/>
  <c r="E103" i="2"/>
  <c r="G135" i="2" s="1"/>
  <c r="I135" i="2" s="1"/>
  <c r="E109" i="2" l="1"/>
  <c r="G131" i="2" s="1"/>
  <c r="I131" i="2" s="1"/>
  <c r="E56" i="2"/>
  <c r="E95" i="2"/>
  <c r="G138" i="2" s="1"/>
  <c r="I138" i="2" s="1"/>
  <c r="E97" i="2"/>
  <c r="E86" i="2"/>
  <c r="E92" i="2"/>
  <c r="E84" i="2"/>
  <c r="E105" i="2" s="1"/>
  <c r="G121" i="2" s="1"/>
  <c r="I121" i="2" s="1"/>
  <c r="E82" i="2"/>
  <c r="G124" i="2" s="1"/>
  <c r="I124" i="2" s="1"/>
  <c r="E98" i="2"/>
  <c r="E102" i="2" s="1"/>
  <c r="E88" i="2"/>
  <c r="E90" i="2"/>
  <c r="E106" i="2" s="1"/>
  <c r="G122" i="2" s="1"/>
  <c r="I122" i="2" s="1"/>
  <c r="E111" i="2" l="1"/>
  <c r="G123" i="2" s="1"/>
  <c r="I123" i="2" s="1"/>
  <c r="E100" i="2"/>
  <c r="E104" i="2" s="1"/>
  <c r="G120" i="2" s="1"/>
  <c r="I120" i="2" s="1"/>
  <c r="E58" i="2"/>
  <c r="E37" i="2" s="1"/>
  <c r="G125" i="2" s="1"/>
  <c r="I125" i="2" s="1"/>
  <c r="E112" i="2"/>
  <c r="G137" i="2" s="1"/>
  <c r="I137" i="2" s="1"/>
  <c r="E76" i="2"/>
  <c r="E77" i="2"/>
  <c r="G134" i="2" s="1"/>
  <c r="I134" i="2" s="1"/>
  <c r="G136" i="2" l="1"/>
  <c r="I136" i="2" s="1"/>
  <c r="E110" i="2"/>
</calcChain>
</file>

<file path=xl/sharedStrings.xml><?xml version="1.0" encoding="utf-8"?>
<sst xmlns="http://schemas.openxmlformats.org/spreadsheetml/2006/main" count="1137" uniqueCount="670">
  <si>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</si>
  <si>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</si>
  <si>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</si>
  <si>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</si>
  <si>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</si>
  <si>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</si>
  <si>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</si>
  <si>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</si>
  <si>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</si>
  <si>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</si>
  <si>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</si>
  <si>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</si>
  <si>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</si>
  <si>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</si>
  <si>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</si>
  <si>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</si>
  <si>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</si>
  <si>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</si>
  <si>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</si>
  <si>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</si>
  <si>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</si>
  <si>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</si>
  <si>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</si>
  <si>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</si>
  <si>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</si>
  <si>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</si>
  <si>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</si>
  <si>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</si>
  <si>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</si>
  <si>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</si>
  <si>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</si>
  <si>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</si>
  <si>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</si>
  <si>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</si>
  <si>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</si>
  <si>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</si>
  <si>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</si>
  <si>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</si>
  <si>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</si>
  <si>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</si>
  <si>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</si>
  <si>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</si>
  <si>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</si>
  <si>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</si>
  <si>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</si>
  <si>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</si>
  <si>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</si>
  <si>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</si>
  <si>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</si>
  <si>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</si>
  <si>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</si>
  <si>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</si>
  <si>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</si>
  <si>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</si>
  <si>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</si>
  <si>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</si>
  <si>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r>
      <t xml:space="preserve">Note: All inputs and outputs are normalized per the reference flow (e.g., per </t>
    </r>
    <r>
      <rPr>
        <b/>
        <sz val="10"/>
        <color indexed="8"/>
        <rFont val="Arial"/>
        <family val="2"/>
      </rPr>
      <t xml:space="preserve">UNIT </t>
    </r>
    <r>
      <rPr>
        <sz val="10"/>
        <color indexed="8"/>
        <rFont val="Arial"/>
        <family val="2"/>
      </rPr>
      <t xml:space="preserve">of </t>
    </r>
    <r>
      <rPr>
        <b/>
        <sz val="10"/>
        <color indexed="8"/>
        <rFont val="Arial"/>
        <family val="2"/>
      </rPr>
      <t>XXXX</t>
    </r>
    <r>
      <rPr>
        <sz val="10"/>
        <color indexed="8"/>
        <rFont val="Arial"/>
        <family val="2"/>
      </rPr>
      <t>)</t>
    </r>
  </si>
  <si>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</si>
  <si>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</si>
  <si>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</si>
  <si>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</si>
  <si>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</si>
  <si>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</si>
  <si>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</si>
  <si>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</si>
  <si>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</si>
  <si>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</si>
  <si>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</si>
  <si>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</si>
  <si>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</si>
  <si>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</si>
  <si>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</si>
  <si>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</si>
  <si>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</si>
  <si>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</si>
  <si>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</si>
  <si>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</si>
  <si>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</si>
  <si>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</si>
  <si>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</si>
  <si>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</si>
  <si>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</si>
  <si>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</si>
  <si>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</si>
  <si>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</si>
  <si>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</si>
  <si>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</si>
  <si>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</si>
  <si>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</si>
  <si>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</si>
  <si>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</si>
  <si>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</si>
  <si>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</si>
  <si>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</si>
  <si>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</si>
  <si>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</si>
  <si>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</si>
  <si>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</si>
  <si>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</si>
  <si>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</si>
  <si>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</si>
  <si>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</si>
  <si>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</si>
  <si>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</si>
  <si>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</si>
  <si>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</si>
  <si>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</si>
  <si>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</si>
  <si>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</si>
  <si>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</si>
  <si>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</si>
  <si>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</si>
  <si>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</si>
  <si>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</si>
  <si>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</si>
  <si>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</si>
  <si>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</si>
  <si>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</si>
  <si>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</si>
  <si>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</si>
  <si>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</si>
  <si>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</si>
  <si>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</si>
  <si>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</si>
  <si>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</si>
  <si>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</si>
  <si>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</si>
  <si>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</si>
  <si>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</si>
  <si>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</si>
  <si>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</si>
  <si>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</si>
  <si>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</si>
  <si>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</si>
  <si>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</si>
  <si>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</si>
  <si>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</si>
  <si>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</si>
  <si>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</si>
  <si>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</si>
  <si>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</si>
  <si>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</si>
  <si>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</si>
  <si>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</si>
  <si>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</si>
  <si>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</si>
  <si>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</si>
  <si>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</si>
  <si>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</si>
  <si>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</si>
  <si>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</si>
  <si>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</si>
  <si>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</si>
  <si>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</si>
  <si>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</si>
  <si>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</si>
  <si>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</si>
  <si>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</si>
  <si>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</si>
  <si>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</si>
  <si>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</si>
  <si>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</si>
  <si>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</si>
  <si>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</si>
  <si>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</si>
  <si>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</si>
  <si>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</si>
  <si>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</si>
  <si>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</si>
  <si>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</si>
  <si>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</si>
  <si>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</si>
  <si>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</si>
  <si>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</si>
  <si>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</si>
  <si>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</si>
  <si>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</si>
  <si>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</si>
  <si>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</si>
  <si>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</si>
  <si>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</si>
  <si>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</si>
  <si>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</si>
  <si>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</si>
  <si>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</si>
  <si>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</si>
  <si>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</si>
  <si>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</si>
  <si>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</si>
  <si>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</si>
  <si>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</si>
  <si>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</si>
  <si>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</si>
  <si>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</si>
  <si>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</si>
  <si>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</si>
  <si>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</si>
  <si>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</si>
  <si>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</si>
  <si>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</si>
  <si>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</si>
  <si>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</si>
  <si>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</si>
  <si>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</si>
  <si>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</si>
  <si>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</si>
  <si>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</si>
  <si>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</si>
  <si>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</si>
  <si>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</si>
  <si>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</si>
  <si>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</si>
  <si>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</si>
  <si>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</si>
  <si>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</si>
  <si>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</si>
  <si>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</si>
  <si>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</si>
  <si>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</si>
  <si>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</si>
  <si>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</si>
  <si>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</si>
  <si>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</si>
  <si>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</si>
  <si>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</si>
  <si>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Rare earth leaching</t>
  </si>
  <si>
    <t>hcl_leach</t>
  </si>
  <si>
    <t>h2so4_leach</t>
  </si>
  <si>
    <t>[binary] Leach with hydrochloric acid</t>
  </si>
  <si>
    <t>[binary] Leach with sulfuric acid</t>
  </si>
  <si>
    <t>naoh_leach</t>
  </si>
  <si>
    <t>bath_temp</t>
  </si>
  <si>
    <t>[binary] Leach with caustic soda</t>
  </si>
  <si>
    <t>hcl_temp</t>
  </si>
  <si>
    <t>h2so4_temp</t>
  </si>
  <si>
    <t>naoh_temp</t>
  </si>
  <si>
    <t>C</t>
  </si>
  <si>
    <t>monazite</t>
  </si>
  <si>
    <t>h2so4_leach*h2so4_temp+hcl_leach*hcl_temp+naoh_leach*naoh_temp</t>
  </si>
  <si>
    <t>[deg C] Temperature of leaching process</t>
  </si>
  <si>
    <t>[deg C] Temperature of sufluric acid leaching process</t>
  </si>
  <si>
    <t>[deg C] Temperature of hydrochloric acid leaching process</t>
  </si>
  <si>
    <t>[deg C] Temperature of caustic soda leaching process</t>
  </si>
  <si>
    <t>starting_temp</t>
  </si>
  <si>
    <t>[deg C] Starting temperature of ore from calcination or comminution</t>
  </si>
  <si>
    <t>specific_heat</t>
  </si>
  <si>
    <t>J/g-K</t>
  </si>
  <si>
    <t>[J/g-K] Specific heat for water at 20C. Used as proxy for specific heat of mixture</t>
  </si>
  <si>
    <t>heat_loss</t>
  </si>
  <si>
    <t>time_for_leach</t>
  </si>
  <si>
    <t>hrs</t>
  </si>
  <si>
    <t>[hrs] Time that minerals are in leaching reactor</t>
  </si>
  <si>
    <t>Low temp. insulating firebrick</t>
  </si>
  <si>
    <t>Btu/hr-ft-F</t>
  </si>
  <si>
    <t>Assumed thickness</t>
  </si>
  <si>
    <t>inch</t>
  </si>
  <si>
    <t>m</t>
  </si>
  <si>
    <t>Q/deltaT = k/L</t>
  </si>
  <si>
    <t>Q = k/L * deltaT</t>
  </si>
  <si>
    <t>k/L or U</t>
  </si>
  <si>
    <t>U_ins</t>
  </si>
  <si>
    <t>J/hr-m^2-K</t>
  </si>
  <si>
    <t>kJ</t>
  </si>
  <si>
    <t>[kJ] heat lost by reactor - assumes surface area of cube with edge length of 1m</t>
  </si>
  <si>
    <t>heat_input</t>
  </si>
  <si>
    <t>[kJ] Energy required to raise and hold energy</t>
  </si>
  <si>
    <t>J/hr-m-K</t>
  </si>
  <si>
    <t>2REPO4 + 3H2SO4 -&gt; RE2(SO4)3 + 2H3PO4</t>
  </si>
  <si>
    <t>93% H2SO4</t>
  </si>
  <si>
    <t>NaOH - Monazite/xenotime reaction</t>
  </si>
  <si>
    <t>H2SO4 - Monazite/xenotime reaction</t>
  </si>
  <si>
    <t>REPO4 + 3NaOH -&gt; RE(OH)3 + Na3PO4</t>
  </si>
  <si>
    <t>Th3(PO4)4 + 12NaOH -&gt; 3Th(OH)4 + 4Na3PO4</t>
  </si>
  <si>
    <t>UO2HPO4 + 2NaOH -&gt; UO2(OH)2 + Na2HPO4</t>
  </si>
  <si>
    <t>40-50% NaOH</t>
  </si>
  <si>
    <t>[Technosphere] heat input for the leaching process</t>
  </si>
  <si>
    <t>N/A</t>
  </si>
  <si>
    <t>No</t>
  </si>
  <si>
    <t>2REFCO3 + 3H2SO4 -&gt; RE2(SO4)3 + 2H2O + 2CO2 +2HF</t>
  </si>
  <si>
    <t>3REFCO3 &lt;-&gt; REF3-RE2(CO3)3 + 9HCl -&gt; REF3 + 2RECl3 + 3HCl + 3H2O + 3CO2</t>
  </si>
  <si>
    <t>[binary] Monazite/xenotime ore is input</t>
  </si>
  <si>
    <t>Ce</t>
  </si>
  <si>
    <t>La</t>
  </si>
  <si>
    <t>Bastnaesite Composition</t>
  </si>
  <si>
    <t>Pr</t>
  </si>
  <si>
    <t>Nd</t>
  </si>
  <si>
    <t>Sm</t>
  </si>
  <si>
    <t>Eu</t>
  </si>
  <si>
    <t>Gd</t>
  </si>
  <si>
    <t>Tb</t>
  </si>
  <si>
    <t>Dy</t>
  </si>
  <si>
    <t>Ho</t>
  </si>
  <si>
    <t>Er</t>
  </si>
  <si>
    <t>Tm</t>
  </si>
  <si>
    <t>Yb</t>
  </si>
  <si>
    <t>Lu</t>
  </si>
  <si>
    <t>Y</t>
  </si>
  <si>
    <t>Fraction of ore in rare earth oxide</t>
  </si>
  <si>
    <t>kg/kg</t>
  </si>
  <si>
    <t>g/mol</t>
  </si>
  <si>
    <t>molar mass</t>
  </si>
  <si>
    <t>Carbon</t>
  </si>
  <si>
    <t>Oxygen</t>
  </si>
  <si>
    <t>Sodium</t>
  </si>
  <si>
    <t>Hydrogen</t>
  </si>
  <si>
    <t>Chloride</t>
  </si>
  <si>
    <t>Nitrogen</t>
  </si>
  <si>
    <t>Calcium</t>
  </si>
  <si>
    <t>FO</t>
  </si>
  <si>
    <t>F3</t>
  </si>
  <si>
    <t>molar mass of oxide</t>
  </si>
  <si>
    <t>Moles of rare earth in oxide</t>
  </si>
  <si>
    <t>Moles of oxygen in oxide</t>
  </si>
  <si>
    <t>mol</t>
  </si>
  <si>
    <t>CeFCO3</t>
  </si>
  <si>
    <t>mass</t>
  </si>
  <si>
    <t>Molar fraction of mix</t>
  </si>
  <si>
    <t>mol/mol_mix</t>
  </si>
  <si>
    <t>g/mol_mix</t>
  </si>
  <si>
    <t>mol_wt_ore</t>
  </si>
  <si>
    <t xml:space="preserve">kg ore = </t>
  </si>
  <si>
    <t>mole of rare earths</t>
  </si>
  <si>
    <t>Weighted molar wieght</t>
  </si>
  <si>
    <t>LaFCO3</t>
  </si>
  <si>
    <t>PrFCO3</t>
  </si>
  <si>
    <t>NdFCO3</t>
  </si>
  <si>
    <t>SmFCO3</t>
  </si>
  <si>
    <t>EuFCO3</t>
  </si>
  <si>
    <t>GdFCO3</t>
  </si>
  <si>
    <t>TbFCO3</t>
  </si>
  <si>
    <t>DyFCO3</t>
  </si>
  <si>
    <t>HoFCO3</t>
  </si>
  <si>
    <t>ErFCO3</t>
  </si>
  <si>
    <t>TmFCO3</t>
  </si>
  <si>
    <t>YbFCO3</t>
  </si>
  <si>
    <t>LuFCO3</t>
  </si>
  <si>
    <t>YFCO3</t>
  </si>
  <si>
    <t>Weighted average</t>
  </si>
  <si>
    <t>mol_ree</t>
  </si>
  <si>
    <t>hcl_ratio</t>
  </si>
  <si>
    <t>h2so4_ratio</t>
  </si>
  <si>
    <t>naoh_ratio</t>
  </si>
  <si>
    <t>HCl MW</t>
  </si>
  <si>
    <t>H2SO4 MW</t>
  </si>
  <si>
    <t>Sulfur</t>
  </si>
  <si>
    <t>NaOH MW</t>
  </si>
  <si>
    <t>hcl_MW</t>
  </si>
  <si>
    <t>h2so4_MW</t>
  </si>
  <si>
    <t>naoh_MW</t>
  </si>
  <si>
    <t>hcl_m_reqd</t>
  </si>
  <si>
    <t>h2so4_m_reqd</t>
  </si>
  <si>
    <t>naoh_m_reqd</t>
  </si>
  <si>
    <t>kg/mol</t>
  </si>
  <si>
    <t>water_for_soln</t>
  </si>
  <si>
    <t>30% HCl</t>
  </si>
  <si>
    <t>product_mass</t>
  </si>
  <si>
    <t>U_ins*6*time_for_leach*(bath_temp-starting_temp)/1000</t>
  </si>
  <si>
    <t>rare earth ore concentrate [Valuable substances]</t>
  </si>
  <si>
    <t>[kg/mol] Molecular weight of hydrochloric acid</t>
  </si>
  <si>
    <t>[kg/mol] Molecular weight of sulfuric acid</t>
  </si>
  <si>
    <t>[kg/mol] Molecular weight of caustic soda</t>
  </si>
  <si>
    <t>The leaching of rare earth concentrate</t>
  </si>
  <si>
    <t>Hydrochloric acid (100%) [Inorganic intermediate products]</t>
  </si>
  <si>
    <t>Sulphuric acid aq. (96%) [Inorganic intermediate products]</t>
  </si>
  <si>
    <t>Sodium hydroxide (100%; caustic soda) [Inorganic intermediate products]</t>
  </si>
  <si>
    <t>[Technosphere] hydrochloric acid</t>
  </si>
  <si>
    <t>[Technosphere] sulfuric acid</t>
  </si>
  <si>
    <t>[Technosphere] sodium hydroxide acid</t>
  </si>
  <si>
    <t>Heat, from Mountain Pass CHP</t>
  </si>
  <si>
    <t>Calculations Sheet</t>
  </si>
  <si>
    <t>Contains reaction calculations</t>
  </si>
  <si>
    <t>DOE</t>
  </si>
  <si>
    <t>2009</t>
  </si>
  <si>
    <t>Energy Matters</t>
  </si>
  <si>
    <t>Maximize System Efficiency with Proper Insulation</t>
  </si>
  <si>
    <t>http://www1.eere.energy.gov/manufacturing/tech_assistance/winter2009.html</t>
  </si>
  <si>
    <t>Department of Energy</t>
  </si>
  <si>
    <t>Winter 2009</t>
  </si>
  <si>
    <r>
      <t xml:space="preserve">DOE (2009). Maximize System Efficiency with Proper Insulation. </t>
    </r>
    <r>
      <rPr>
        <i/>
        <sz val="10"/>
        <rFont val="Arial"/>
        <family val="2"/>
      </rPr>
      <t xml:space="preserve">Energy Matters, Winter 2009. </t>
    </r>
    <r>
      <rPr>
        <sz val="10"/>
        <rFont val="Arial"/>
        <family val="2"/>
      </rPr>
      <t>Retrieved 3/3/2014 from http://www1.eere.energy.gov/manufacturing/tech_assistance/winter2009.html</t>
    </r>
  </si>
  <si>
    <t>Gupta, C.K.</t>
  </si>
  <si>
    <t>N. Krishnamurthy</t>
  </si>
  <si>
    <t>2005</t>
  </si>
  <si>
    <t>Boca Raton, FL.</t>
  </si>
  <si>
    <t>CRC Press</t>
  </si>
  <si>
    <t>Gupta and Krishnamurthy (2005). Extractive Metallurgy of Rare Eaths. Boca Raton, FL: CRC Press.</t>
  </si>
  <si>
    <t>Extractive Metallurgy of Rare Earths</t>
  </si>
  <si>
    <t>Canadian Metallurgical Quarterly</t>
  </si>
  <si>
    <t>2013</t>
  </si>
  <si>
    <t>Habash, F.</t>
  </si>
  <si>
    <t>52</t>
  </si>
  <si>
    <t>3</t>
  </si>
  <si>
    <t>Canadian Institute of Mining and Metallurgy</t>
  </si>
  <si>
    <t xml:space="preserve">Habashi, F. (2013). Extractive metallurgy of rare earths. Canadian Metallurgical Quarterly, 52(3), 224-233. doi: doi:10.1179/1879139513Y.0000000081
</t>
  </si>
  <si>
    <t>co2_ratio</t>
  </si>
  <si>
    <t>f3_ratio</t>
  </si>
  <si>
    <t>hcl_out_ratio</t>
  </si>
  <si>
    <t>h2o_out_ratio</t>
  </si>
  <si>
    <t>h3po4_ratio</t>
  </si>
  <si>
    <t>na3po4_ratio</t>
  </si>
  <si>
    <t>hf_out_ratio</t>
  </si>
  <si>
    <t>co2_MW</t>
  </si>
  <si>
    <t>HF MW</t>
  </si>
  <si>
    <t>CO2 MW</t>
  </si>
  <si>
    <t>H2O MW</t>
  </si>
  <si>
    <t>H3PO4</t>
  </si>
  <si>
    <t>Na3PO4</t>
  </si>
  <si>
    <t>Phosphorous</t>
  </si>
  <si>
    <t>f3_MW</t>
  </si>
  <si>
    <t>h3po4_MW</t>
  </si>
  <si>
    <t>na3po4_MW</t>
  </si>
  <si>
    <t>hf_out_MW</t>
  </si>
  <si>
    <t>co2_out</t>
  </si>
  <si>
    <t>FCO3</t>
  </si>
  <si>
    <t>mol_wt_re</t>
  </si>
  <si>
    <t>ref3_out</t>
  </si>
  <si>
    <t>hcl_out</t>
  </si>
  <si>
    <t>h2o_out</t>
  </si>
  <si>
    <t>na3po4_out</t>
  </si>
  <si>
    <t>h3po4_out</t>
  </si>
  <si>
    <t>hf_out</t>
  </si>
  <si>
    <t>Carbon dioxide [Inorganic emissions to air]</t>
  </si>
  <si>
    <t>Hydrogen fluoride [Inorganic emissions to air]</t>
  </si>
  <si>
    <t>Water</t>
  </si>
  <si>
    <t>[kg/kg] kg of carbon dioxide per kg of ore input</t>
  </si>
  <si>
    <t>[kg/kg] kg of rare earth fluorides per kg of ore input</t>
  </si>
  <si>
    <t>[kg/kg] kg of hydrochloric acid per kg of ore input</t>
  </si>
  <si>
    <t>[kg/kg] kg of water produced per kg of ore input</t>
  </si>
  <si>
    <t>[kg/kg] kg of phosphoric acid per kg of ore input</t>
  </si>
  <si>
    <t>[kg/kg] kg of trisodium phosphate per kg of ore input</t>
  </si>
  <si>
    <t>[kg/kg] kg of hydrogen fluoride per kg of ore input</t>
  </si>
  <si>
    <t>[kg/mol] Molecular weight of carbon dioxide</t>
  </si>
  <si>
    <t>[kg/mol] Molecular weight of rare earth fluorides</t>
  </si>
  <si>
    <t>[kg/mol] Molecular weight of water</t>
  </si>
  <si>
    <t>[kg/mol] Molecular weight of phosphoric acid</t>
  </si>
  <si>
    <t>[kg/mol] Molecular weight of trisodium phosphate</t>
  </si>
  <si>
    <t>[kg/mol] Molecular weight of hydrogen fluoride</t>
  </si>
  <si>
    <t>mol_ree*co2_ratio*co2_MW</t>
  </si>
  <si>
    <t>mol_ree*na3po4_ratio*na3po4_MW</t>
  </si>
  <si>
    <t>mol_ree*hf_out_ratio*hf_out_MW</t>
  </si>
  <si>
    <t>Emissions to air</t>
  </si>
  <si>
    <t>Reference flow - ore input for the leaching process (from beneficiation)</t>
  </si>
  <si>
    <t>CeO₂</t>
  </si>
  <si>
    <t>La₂O₃</t>
  </si>
  <si>
    <t>Pr₆O₁₁</t>
  </si>
  <si>
    <t>Nd₂O₃</t>
  </si>
  <si>
    <t>Sm₂O₃</t>
  </si>
  <si>
    <t>Eu₂O₃</t>
  </si>
  <si>
    <t>Gd₂O₃</t>
  </si>
  <si>
    <t>Tb₄O₇</t>
  </si>
  <si>
    <t>Dy₂O₃</t>
  </si>
  <si>
    <t>Ho₂O₃</t>
  </si>
  <si>
    <t>Er₂O₃</t>
  </si>
  <si>
    <t>Tm₂O₃</t>
  </si>
  <si>
    <t>Yb₂O₃</t>
  </si>
  <si>
    <t>Lu₂O₃</t>
  </si>
  <si>
    <t>Y₂O₃</t>
  </si>
  <si>
    <t>Molecular weight rare earth element mix</t>
  </si>
  <si>
    <t>Molecular weight bastnaesite</t>
  </si>
  <si>
    <t>ore_frac_reo</t>
  </si>
  <si>
    <t>[kg/kg] kg of REO equivalent per kg of rare earth concentrate input</t>
  </si>
  <si>
    <t>[kg/mol] Molecular weight of the bastnaesite</t>
  </si>
  <si>
    <t>[kg/mol] Molecular weight of the rare earth element mix in rare earth containing mineral (default mountain pass bastnaesite)</t>
  </si>
  <si>
    <t>[kg/kg] kg of bastnaesite per kg of REO equivalent (site-specific)</t>
  </si>
  <si>
    <t>perc_bast</t>
  </si>
  <si>
    <t>[kg/kg] mass of bastnaesite per kg of concentrate input - remainder is gangue</t>
  </si>
  <si>
    <t>Fluorine</t>
  </si>
  <si>
    <t>h2so4_leach*monazite*1</t>
  </si>
  <si>
    <t>naoh_leach*monazite*1</t>
  </si>
  <si>
    <t>RE(OH)3 + 3HCl = RECl3 + 3H2O</t>
  </si>
  <si>
    <t>Derived from description in Reference</t>
  </si>
  <si>
    <t>Rare earth chlorides from rare earth sulfates (bastnaesite, monazite, and xenotime)</t>
  </si>
  <si>
    <r>
      <t>RE2(SO4)3 + 12H2O + 6NaCl + 3H2SO4 -&gt; RE2(SO4)3</t>
    </r>
    <r>
      <rPr>
        <sz val="11"/>
        <color indexed="8"/>
        <rFont val="Calibri"/>
        <family val="2"/>
      </rPr>
      <t>∙3Na2SO4∙12H2O↓ + 6HCl</t>
    </r>
  </si>
  <si>
    <t>re2so43_mol</t>
  </si>
  <si>
    <t>mol_ree/2*h2so4_leach</t>
  </si>
  <si>
    <t>NaCl</t>
  </si>
  <si>
    <t>NaCl_in</t>
  </si>
  <si>
    <t>NaCl_in_ratio</t>
  </si>
  <si>
    <t>HCl_2_out_ratio</t>
  </si>
  <si>
    <t>NaOH_2_in</t>
  </si>
  <si>
    <t>NaOH_2_in_ratio</t>
  </si>
  <si>
    <t>HCl_2_out</t>
  </si>
  <si>
    <t>H2O_2_out_r</t>
  </si>
  <si>
    <t>H2O_2_in_r</t>
  </si>
  <si>
    <t>H2O_2_in</t>
  </si>
  <si>
    <t>h2o_MW</t>
  </si>
  <si>
    <t>mol_ree*hcl_out_ratio*hcl_MW</t>
  </si>
  <si>
    <t>H2O_2_out</t>
  </si>
  <si>
    <t>(HCl_2_out_ratio*re2so43_mol)*hcl_MW</t>
  </si>
  <si>
    <t>(H2O_2_in_r*re2so43_mol)*h2o_MW</t>
  </si>
  <si>
    <t>Na2so4_out</t>
  </si>
  <si>
    <t>Na2so4_out_r</t>
  </si>
  <si>
    <t>(H2O_2_out_r*re2so43_mol)*h2o_MW</t>
  </si>
  <si>
    <t>reoh3</t>
  </si>
  <si>
    <t>h2o_3_out_r</t>
  </si>
  <si>
    <t>h2o_3_out</t>
  </si>
  <si>
    <t>REF3 + 3NaOH -&gt; RE(OH)3 + 3NaF</t>
  </si>
  <si>
    <t>RE(OH)3 + 3HCl -&gt; RECl3 + 3H2O</t>
  </si>
  <si>
    <t>h2so4_ratio*mol_ree*h2so4_leach</t>
  </si>
  <si>
    <t>hcl_ratio*mol_ree*hcl_leach</t>
  </si>
  <si>
    <t>naoh_ratio*mol_ree*naoh_leach</t>
  </si>
  <si>
    <t>4.1841</t>
  </si>
  <si>
    <t>rare earth chloride concentrate</t>
  </si>
  <si>
    <t>[mol/mol] Molar ratio of sodium chloride to rare earth sulfate</t>
  </si>
  <si>
    <t>mol/mol</t>
  </si>
  <si>
    <t>[kg/kg] mass of sodium chloride required per kg of ore input</t>
  </si>
  <si>
    <t>[kg/kg] mass of water required per kg of ore input</t>
  </si>
  <si>
    <t>[mol/mol] Molar ratio of water in to rare earth sulfate</t>
  </si>
  <si>
    <t>[kg/kg] mass of water in per kg of ore input</t>
  </si>
  <si>
    <t>[mol/mol] Molar ratio of caustic soda to rare earth sulfate</t>
  </si>
  <si>
    <t>[kg/kg] mass of caustic soda required per kg of ore input</t>
  </si>
  <si>
    <t>[mol/mol] Molar ratio of water out to rare earth sulfate</t>
  </si>
  <si>
    <t>[kg/kg] mass of water discharged per kg of ore input</t>
  </si>
  <si>
    <t>[mol/mol] Molar ratio of double sodium sulfates out to rare earth sulfate</t>
  </si>
  <si>
    <t>[kg/kg] mass of double sodium sulfates discharged per kg of ore input</t>
  </si>
  <si>
    <t>[mol/mol] moles of rare earth hydroxides converted from rare earth sulfates</t>
  </si>
  <si>
    <t>[mol/mol] Molar ratio of hydrochloric acid to rare earth hydroxides</t>
  </si>
  <si>
    <t>[mol/mol] Molar ratio of water out to rare earth to rare earth hydroxides</t>
  </si>
  <si>
    <t>solid_waste</t>
  </si>
  <si>
    <t>[kg/kg] kg of solid waste (gangue) produced per kg of ore input</t>
  </si>
  <si>
    <t>1-perc_bast</t>
  </si>
  <si>
    <t>mol/kg</t>
  </si>
  <si>
    <t>hcl_1_in</t>
  </si>
  <si>
    <t>mol_ree*f3_ratio</t>
  </si>
  <si>
    <t>hcl_2_in_r</t>
  </si>
  <si>
    <t>hcl_2_in</t>
  </si>
  <si>
    <t>2*re2so43_mol+mol_ree*naoh_leach</t>
  </si>
  <si>
    <t>RECl3_out</t>
  </si>
  <si>
    <t>Phosphoric acid waste</t>
  </si>
  <si>
    <t>Dilute phosphoric acid solution waste solution</t>
  </si>
  <si>
    <t>solid waste</t>
  </si>
  <si>
    <t>input_mass</t>
  </si>
  <si>
    <t>hcl_1_m_reqd</t>
  </si>
  <si>
    <t>recl3_h2o</t>
  </si>
  <si>
    <t>recl3_h2o_r</t>
  </si>
  <si>
    <t>recl3_h2o+RECl3_out</t>
  </si>
  <si>
    <t>recl3_h2o_r*mol_ree*h2o_MW</t>
  </si>
  <si>
    <t>acid_waste</t>
  </si>
  <si>
    <t>water_in</t>
  </si>
  <si>
    <t>RE2(SO4)3∙3Na2SO4∙12H2O + 6NaOH -&gt; 2RE(OH)3 + 6Na2SO4 + 12H2O</t>
  </si>
  <si>
    <t>na2so4_MW</t>
  </si>
  <si>
    <t>Na2SO4</t>
  </si>
  <si>
    <t>h2so4_2_in</t>
  </si>
  <si>
    <t>h2so4_2_in_r</t>
  </si>
  <si>
    <t>h2so4_2_in_r*re2so43_mol*h2so4_MW</t>
  </si>
  <si>
    <t>h2so4_1_m_reqd</t>
  </si>
  <si>
    <t>naoh_1_m_reqd</t>
  </si>
  <si>
    <t>h2so4_1_in</t>
  </si>
  <si>
    <t>naoh_1_in</t>
  </si>
  <si>
    <t>hcl_1_in*hcl_MW</t>
  </si>
  <si>
    <t>h2so4_1_in*h2so4_MW</t>
  </si>
  <si>
    <t>naoh_1_in*naoh_MW</t>
  </si>
  <si>
    <t>hcl_1_m_reqd+hcl_2_in</t>
  </si>
  <si>
    <t>dilute acid waste</t>
  </si>
  <si>
    <t>nacl_in</t>
  </si>
  <si>
    <t>Sodium chloride</t>
  </si>
  <si>
    <t>naoh_leach*water_for_soln+na3po4_out</t>
  </si>
  <si>
    <t>NaF</t>
  </si>
  <si>
    <t>NaF_out_r</t>
  </si>
  <si>
    <t>NaF_out</t>
  </si>
  <si>
    <t>NaF_MW</t>
  </si>
  <si>
    <t>NaF_out_r*ref3_out*NaF_MW</t>
  </si>
  <si>
    <t>sodium fluoride</t>
  </si>
  <si>
    <t>Solid waste (gangue material)</t>
  </si>
  <si>
    <t>Reference [1]</t>
  </si>
  <si>
    <t>Reference [2]</t>
  </si>
  <si>
    <t>Reference [3]</t>
  </si>
  <si>
    <t>NI 43-101 Compliant Resource Estimate Update For News Release of August 15, 2013</t>
  </si>
  <si>
    <t>Avalon Rare Metals Inc.</t>
  </si>
  <si>
    <t>http://www.avalonraremetals.com/_resources/nechalacho/Resource_Update_August_2013.pdf</t>
  </si>
  <si>
    <t>Avalon Rare Metals Inc. (2013). NI 43-101 Compliant Resource Estimate Update For News Release of August 15, 2013. Retrieved 4/17/14 from http://www.avalonraremetals.com/_resources/nechalacho/Resource_Update_August_2013.pdf</t>
  </si>
  <si>
    <t>Reference [4]</t>
  </si>
  <si>
    <t>Thermophysical Properties of Fluid Systems. National Institute of Standards and Technology</t>
  </si>
  <si>
    <t>Lemmon, E. W., Linden, M. O., &amp; Friend, D. G.</t>
  </si>
  <si>
    <t>n.d.</t>
  </si>
  <si>
    <t>September 18, 2012</t>
  </si>
  <si>
    <t>Lemmon, E. W., Linden, M. O., &amp; Friend, D. G. (n. d.). Thermophysical Properties of Fluid Systems. National Institute of Standards and Technology Retrieved September 18, 2012, from http://webbook.nist.gov</t>
  </si>
  <si>
    <t>1,2</t>
  </si>
  <si>
    <t>1,2,5</t>
  </si>
  <si>
    <t>kJ/kg</t>
  </si>
  <si>
    <t>[mol/kg] Moles of rare earths in ore per kg of rare earth concentrate input</t>
  </si>
  <si>
    <t>[mol/mol] Moles of hydrochloric acid required for each mole of ree</t>
  </si>
  <si>
    <t>[mol/mol] Moles of sulfuric acid required for each mole of ree</t>
  </si>
  <si>
    <t>[mol/mol] Moles of caustic soda required for each mole of ree</t>
  </si>
  <si>
    <t>[mol/kg] Moles of hydrochloric acid required for leaching 1 kg of rare earth concentrate</t>
  </si>
  <si>
    <t>[mol/kg] Moles of caustic soda required for leaching 1 kg of rare earth concentrate</t>
  </si>
  <si>
    <t>[mol/kg] Moles of sulfuric acid required for leaching 1 kg of rare earth concentrate</t>
  </si>
  <si>
    <t>[kg/kg] Mass of hydrochloric acid required for leaching 1 kg of rare earth concentrate</t>
  </si>
  <si>
    <t>[kg/kg] Mass of sulfuric acid required for leaching 1 kg of rare earth concentrate</t>
  </si>
  <si>
    <t>[kg/kg] Mass of caustic soda required for leaching 1 kg of rare earth concentrate</t>
  </si>
  <si>
    <t>[kg/kg] kg of water required to achieve the desired percent of acid/base (numbers are percent of mix)</t>
  </si>
  <si>
    <t>[kg/kg] kg of rare earth chlorides produced by leaching 1 kg of rare earth concentrate</t>
  </si>
  <si>
    <t>[kg/kg] Mass of acid/base and rare earth concentrate mix for 1 kg of rare earth concentrate</t>
  </si>
  <si>
    <t>[mol/mol] Molar ratio of carbon dioxide to moles of rare earth mix</t>
  </si>
  <si>
    <t>[mol/mol] Molar ratio of rare earth fluorides to moles of rare earth mix</t>
  </si>
  <si>
    <t>[mol/mol] Molar ratio of hydrogen chloride to moles of rare earth mix</t>
  </si>
  <si>
    <t>[mol/mol] Molar ratio of water to moles of rare earth mix</t>
  </si>
  <si>
    <t>[mol/mol] Molar ratio of phosphoric acid to moles of rare earth mix</t>
  </si>
  <si>
    <t>[mol/mol] Molar ratio of trisodium phosphate to moles of rare earth mix</t>
  </si>
  <si>
    <t>[mol/mol] Molar ratio of hydrogen fluoride to moles of rare earth mix</t>
  </si>
  <si>
    <t>2,3</t>
  </si>
  <si>
    <t>[kg/mol] Molecular weight of double sodium sulfate</t>
  </si>
  <si>
    <t>[mol/mol] Molar ratio of sulfuric acid to rare earth sulfates</t>
  </si>
  <si>
    <t>[kg/kg] mass of sulfuric acid required per kg of ore input</t>
  </si>
  <si>
    <t>[kg/mol] Molecular weight of sodium fluoride</t>
  </si>
  <si>
    <t>[mol/mol] Molar ratio of sodium fluoride to moles of rare earth fluorides</t>
  </si>
  <si>
    <t>[kg/kg] mass of sodium fluoride per kg of ore input</t>
  </si>
  <si>
    <t>(Na2so4_out+HCl_2_out+h2o_3_out+H2O_2_out+hcl_out+h2o_out-recl3_h2o)*(1-naoh_leach)</t>
  </si>
  <si>
    <t>H2O_2_in+water_for_soln+naoh_leach*(recl3_h2o-h2o_3_out)</t>
  </si>
  <si>
    <t>(h2o_3_out_r*reoh3*(h2so4_leach+naoh_leach)+h2o_3_out_r*ref3_out)*h2o_MW</t>
  </si>
  <si>
    <t>h2so4_1_m_reqd+h2so4_2_in</t>
  </si>
  <si>
    <t>NaOH_2_in+naoh_1_m_reqd</t>
  </si>
  <si>
    <t>hcl_2_in_r*(ref3_out+reoh3)*hcl_MW</t>
  </si>
  <si>
    <t>(Na2so4_out_r*re2so43_mol)*na2so4_MW</t>
  </si>
  <si>
    <t>(NaOH_2_in_ratio*re2so43_mol+ref3_out)*naoh_MW</t>
  </si>
  <si>
    <t>mol_ree*h2o_out_ratio*h2o_MW+water_for_soln*(h2o_out_ratio)</t>
  </si>
  <si>
    <t>(mol_ree*h3po4_ratio*h3po4_MW+water_for_soln)*h2so4_leach*monazite</t>
  </si>
  <si>
    <t>1+water_for_soln+hcl_1_m_reqd+h2so4_1_m_reqd+naoh_1_m_reqd</t>
  </si>
  <si>
    <t>hcl_1_m_reqd/0.3*0.7+h2so4_1_m_reqd/0.93*0.07+naoh_1_m_reqd/0.5*0.5</t>
  </si>
  <si>
    <t>perc_bast/mol_wt_ore</t>
  </si>
  <si>
    <t>specific_heat*(bath_temp-starting_temp)*(input_mass*1000)/1000+heat_loss</t>
  </si>
  <si>
    <t>[mol/kg] moles of rare earth sulfate created per kg of ore input</t>
  </si>
  <si>
    <t>[kg/kg] mass of hydrochloric acid produced per kg of ore input</t>
  </si>
  <si>
    <t>[mol/mol] Molar ratio of hydrochloric acid out to rare earth sulfate</t>
  </si>
  <si>
    <t>[kg/kg] total hydrochloric acid required per kg of ore input</t>
  </si>
  <si>
    <t>[kg/kg] total sulfuric acid required per kg of ore input</t>
  </si>
  <si>
    <t>[kg/kg] total caustic soda required per kg of ore input</t>
  </si>
  <si>
    <t>[kg/kg] kg of water bonded to rare earth chloride hydrates</t>
  </si>
  <si>
    <t>[mol/mol] moles of water bonded to each mole of rare earth chloride hydrates</t>
  </si>
  <si>
    <t>[kg/kg] kg of rare earth chloride hydrates produced per kg of ore input</t>
  </si>
  <si>
    <t>[kg/kg] kg of dilute acid waste - includes hydrochloric acid, water, and double sodium sulfate</t>
  </si>
  <si>
    <t>[kg/kg] total water required per kg of ore input</t>
  </si>
  <si>
    <t>na3po4_waste</t>
  </si>
  <si>
    <t>Trisodium phosphate waste</t>
  </si>
  <si>
    <t>[kg/kg] kg of dilute trisodium phosphate waste per kg of ore input</t>
  </si>
  <si>
    <t>Acid waste (mix of HCl, water, and double sodium sulfate)</t>
  </si>
  <si>
    <t>Dilute trisodium phosphate waste</t>
  </si>
  <si>
    <t>Sodium fluoride</t>
  </si>
  <si>
    <t>[Resource] Water</t>
  </si>
  <si>
    <t>[Technosphere] Salt</t>
  </si>
  <si>
    <t>PO4</t>
  </si>
  <si>
    <t>RE_ore_conv</t>
  </si>
  <si>
    <t>ore_frac_reo*RE_ore_conv</t>
  </si>
  <si>
    <t>This unit process provides a summary of relevant input and output flows associated with leaching rare earth concentrate with strong acids or bases to produce an aqueous solution. Inputs include process heat and either hydrochloric acid, sulfuric acid, or caustic soda. The output is an aqueous phase mix of rare earth chlorides.</t>
  </si>
  <si>
    <t>bastnaesite</t>
  </si>
  <si>
    <t>[binary] bastnaesite ore is input</t>
  </si>
  <si>
    <t>bastnaesite*500+monazite*200</t>
  </si>
  <si>
    <t>hcl_leach*bastnaesite*1+h2so4_leach*bastnaesite*1</t>
  </si>
  <si>
    <t>1/3*bastnaesite*hcl_leach</t>
  </si>
  <si>
    <t>hcl_leach*bastnaesite*1</t>
  </si>
  <si>
    <t>h2so4_leach*bastnaesite*1</t>
  </si>
  <si>
    <t>HCl - bastnaesite reaction</t>
  </si>
  <si>
    <t>H2SO4 - bastnaesite reaction</t>
  </si>
  <si>
    <t>[kg/kg] mass of hydrochloric acid required to leach hydroxides per kg of ore input</t>
  </si>
  <si>
    <t>(hcl_leach+h2so4_leach)*4+naoh_leach*3</t>
  </si>
  <si>
    <t>Design and development of novel flotation reagents for the benficiation of Mountain Pass rare-earth ore</t>
  </si>
  <si>
    <t xml:space="preserve">Pradip </t>
  </si>
  <si>
    <t xml:space="preserve">Douglas W. Fuerstenau </t>
  </si>
  <si>
    <t>February</t>
  </si>
  <si>
    <t>Society for Mining, Metallurgy &amp; Exploration</t>
  </si>
  <si>
    <t>1-9</t>
  </si>
  <si>
    <t>30</t>
  </si>
  <si>
    <t>1</t>
  </si>
  <si>
    <t>United States</t>
  </si>
  <si>
    <t>Pradip, Fuerstenau D.W. (2013). Design and development of novel flotation reagents for the beneficiation of Mountain Pass rare-earth ore. Minerals and Metallurgical Processing. Vol. 30, No. 1, pp. 1-9.</t>
  </si>
  <si>
    <t xml:space="preserve">This unit process is composed of this document and the file, DF_Stage1_O_Rare_Earth_Leaching_2014.1.doc, which provides additional details regarding calculations, data quality, and references as relevant. </t>
  </si>
  <si>
    <t>Hydrochloric acid, sulfuric acid, sodium hydroxide, water, sodium chloride, rare earth chloride concentrate, phosphoric acid waste, dilute acid waste, trisodium phosphate waste, sodium fluoride</t>
  </si>
  <si>
    <t>heat</t>
  </si>
  <si>
    <t>carbon dioxide, hydrogen fluorite, solid waste</t>
  </si>
  <si>
    <t>[J/s-m^2-K] Heat transfer coefficient (used to estimate heat loss), default assumes 6-inch thick firebrick</t>
  </si>
  <si>
    <t>[Technosphere] Mixed rare earth chlorides in aqueous phase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</si>
</sst>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
  </numFmts>
  <fonts count="49" x14ac:knownFonts="1">
    <font>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b/>
      <sz val="10"/>
      <color indexed="8"/>
      <name val="Arial"/>
      <family val="2"/>
    </font>
    <font>
      <sz val="10"/>
      <color indexed="8"/>
      <name val="Arial"/>
      <family val="2"/>
    </font>
    <font>
      <sz val="10"/>
      <color indexed="10"/>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u/>
      <sz val="9.35"/>
      <color theme="10"/>
      <name val="Calibri"/>
      <family val="2"/>
    </font>
    <font>
      <sz val="10"/>
      <color rgb="FF000000"/>
      <name val="Arial"/>
      <family val="2"/>
    </font>
    <font>
      <sz val="10"/>
      <color theme="1"/>
      <name val="Arial"/>
      <family val="2"/>
    </font>
    <font>
      <b/>
      <sz val="16"/>
      <color theme="3"/>
      <name val="Arial"/>
      <family val="2"/>
    </font>
    <font>
      <b/>
      <sz val="11"/>
      <color theme="3"/>
      <name val="Calibri"/>
      <family val="2"/>
      <scheme val="minor"/>
    </font>
    <font>
      <b/>
      <sz val="11"/>
      <color theme="1"/>
      <name val="Calibri"/>
      <family val="2"/>
      <scheme val="minor"/>
    </font>
    <font>
      <sz val="11"/>
      <name val="Calibri"/>
      <family val="2"/>
      <scheme val="minor"/>
    </font>
    <font>
      <b/>
      <i/>
      <sz val="11"/>
      <color theme="1"/>
      <name val="Calibri"/>
      <family val="2"/>
      <scheme val="minor"/>
    </font>
    <font>
      <b/>
      <sz val="11"/>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5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2"/>
        <bgColor indexed="64"/>
      </patternFill>
    </fill>
    <fill>
      <patternFill patternType="solid">
        <fgColor theme="6" tint="0.39997558519241921"/>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98">
    <xf numFmtId="0" fontId="0" fillId="0" borderId="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3" borderId="0" applyNumberFormat="0" applyBorder="0" applyAlignment="0" applyProtection="0"/>
    <xf numFmtId="0" fontId="23" fillId="20" borderId="1" applyNumberFormat="0" applyAlignment="0" applyProtection="0"/>
    <xf numFmtId="0" fontId="24" fillId="21" borderId="2" applyNumberFormat="0" applyAlignment="0" applyProtection="0"/>
    <xf numFmtId="43" fontId="39"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alignment wrapText="1"/>
    </xf>
    <xf numFmtId="167" fontId="1" fillId="0" borderId="0" applyFont="0" applyFill="0" applyBorder="0" applyAlignment="0" applyProtection="0">
      <alignment wrapText="1"/>
    </xf>
    <xf numFmtId="168" fontId="16" fillId="0" borderId="0" applyFont="0" applyFill="0" applyBorder="0" applyAlignment="0" applyProtection="0">
      <alignment vertical="center"/>
    </xf>
    <xf numFmtId="0" fontId="25" fillId="0" borderId="0" applyNumberFormat="0" applyFill="0" applyBorder="0" applyAlignment="0" applyProtection="0"/>
    <xf numFmtId="0" fontId="26" fillId="4"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13"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0" fillId="7" borderId="1" applyNumberFormat="0" applyAlignment="0" applyProtection="0"/>
    <xf numFmtId="0" fontId="31" fillId="0" borderId="6" applyNumberFormat="0" applyFill="0" applyAlignment="0" applyProtection="0"/>
    <xf numFmtId="0" fontId="32" fillId="22" borderId="0" applyNumberFormat="0" applyBorder="0" applyAlignment="0" applyProtection="0"/>
    <xf numFmtId="0" fontId="1" fillId="0" borderId="0"/>
    <xf numFmtId="0" fontId="1" fillId="0" borderId="0"/>
    <xf numFmtId="0" fontId="1" fillId="23" borderId="7" applyNumberFormat="0" applyFont="0" applyAlignment="0" applyProtection="0"/>
    <xf numFmtId="0" fontId="1" fillId="23" borderId="7" applyNumberFormat="0" applyFont="0" applyAlignment="0" applyProtection="0"/>
    <xf numFmtId="0" fontId="33"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3" fillId="24" borderId="9" applyNumberFormat="0" applyProtection="0">
      <alignment horizontal="center" wrapText="1"/>
    </xf>
    <xf numFmtId="0" fontId="3" fillId="24" borderId="10" applyNumberFormat="0" applyAlignment="0" applyProtection="0">
      <alignment wrapText="1"/>
    </xf>
    <xf numFmtId="0" fontId="1" fillId="25" borderId="0" applyNumberFormat="0" applyBorder="0">
      <alignment horizontal="center" wrapText="1"/>
    </xf>
    <xf numFmtId="0" fontId="1" fillId="25" borderId="0" applyNumberFormat="0" applyBorder="0">
      <alignment horizontal="center" wrapText="1"/>
    </xf>
    <xf numFmtId="0" fontId="1" fillId="26" borderId="11" applyNumberFormat="0">
      <alignment wrapText="1"/>
    </xf>
    <xf numFmtId="0" fontId="1" fillId="26" borderId="11" applyNumberFormat="0">
      <alignment wrapText="1"/>
    </xf>
    <xf numFmtId="0" fontId="1" fillId="26" borderId="0" applyNumberFormat="0" applyBorder="0">
      <alignment wrapText="1"/>
    </xf>
    <xf numFmtId="0" fontId="1" fillId="26" borderId="0" applyNumberFormat="0" applyBorder="0">
      <alignment wrapText="1"/>
    </xf>
    <xf numFmtId="0" fontId="1" fillId="0" borderId="0" applyNumberFormat="0" applyFill="0" applyBorder="0" applyProtection="0">
      <alignment horizontal="right" wrapText="1"/>
    </xf>
    <xf numFmtId="0" fontId="1" fillId="0" borderId="0" applyNumberFormat="0" applyFill="0" applyBorder="0" applyProtection="0">
      <alignment horizontal="right" wrapText="1"/>
    </xf>
    <xf numFmtId="169" fontId="1" fillId="0" borderId="0" applyFill="0" applyBorder="0" applyAlignment="0" applyProtection="0">
      <alignment wrapText="1"/>
    </xf>
    <xf numFmtId="169" fontId="1" fillId="0" borderId="0" applyFill="0" applyBorder="0" applyAlignment="0" applyProtection="0">
      <alignment wrapText="1"/>
    </xf>
    <xf numFmtId="170" fontId="1" fillId="0" borderId="0" applyFill="0" applyBorder="0" applyAlignment="0" applyProtection="0">
      <alignment wrapText="1"/>
    </xf>
    <xf numFmtId="170" fontId="1" fillId="0" borderId="0" applyFill="0" applyBorder="0" applyAlignment="0" applyProtection="0">
      <alignment wrapText="1"/>
    </xf>
    <xf numFmtId="171" fontId="1" fillId="0" borderId="0" applyFill="0" applyBorder="0" applyAlignment="0" applyProtection="0">
      <alignment wrapText="1"/>
    </xf>
    <xf numFmtId="171"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0" fontId="1" fillId="0" borderId="0" applyNumberFormat="0" applyFill="0" applyBorder="0">
      <alignment horizontal="right" wrapText="1"/>
    </xf>
    <xf numFmtId="17" fontId="1" fillId="0" borderId="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8" fontId="1" fillId="0" borderId="0" applyFill="0" applyBorder="0" applyAlignment="0" applyProtection="0">
      <alignment wrapText="1"/>
    </xf>
    <xf numFmtId="0" fontId="34" fillId="0" borderId="0" applyNumberFormat="0" applyFill="0" applyBorder="0">
      <alignment horizontal="left" wrapText="1"/>
    </xf>
    <xf numFmtId="0" fontId="3" fillId="0" borderId="0" applyNumberFormat="0" applyFill="0" applyBorder="0">
      <alignment horizontal="center" wrapText="1"/>
    </xf>
    <xf numFmtId="0" fontId="3" fillId="0" borderId="0" applyNumberFormat="0" applyFill="0" applyBorder="0">
      <alignment horizontal="center" wrapText="1"/>
    </xf>
    <xf numFmtId="172" fontId="35" fillId="0" borderId="0">
      <alignment horizontal="center" vertical="center"/>
    </xf>
    <xf numFmtId="0" fontId="36" fillId="0" borderId="0" applyNumberFormat="0" applyFill="0" applyBorder="0" applyAlignment="0" applyProtection="0"/>
    <xf numFmtId="0" fontId="37" fillId="0" borderId="12" applyNumberFormat="0" applyFill="0" applyAlignment="0" applyProtection="0"/>
    <xf numFmtId="0" fontId="38" fillId="0" borderId="0" applyNumberFormat="0" applyFill="0" applyBorder="0" applyAlignment="0" applyProtection="0"/>
    <xf numFmtId="173" fontId="1" fillId="0" borderId="0">
      <alignment horizontal="center" vertical="center"/>
    </xf>
    <xf numFmtId="173" fontId="1" fillId="0" borderId="0">
      <alignment horizontal="center" vertical="center"/>
    </xf>
  </cellStyleXfs>
  <cellXfs count="327">
    <xf numFmtId="0" fontId="0" fillId="0" borderId="0" xfId="0"/>
    <xf numFmtId="0" fontId="2" fillId="27" borderId="0" xfId="56" applyFont="1" applyFill="1" applyAlignment="1"/>
    <xf numFmtId="0" fontId="1" fillId="27" borderId="0" xfId="56" applyFill="1"/>
    <xf numFmtId="0" fontId="1" fillId="0" borderId="0" xfId="56"/>
    <xf numFmtId="0" fontId="3" fillId="28" borderId="13" xfId="56" applyFont="1" applyFill="1" applyBorder="1" applyAlignment="1">
      <alignment horizontal="left" vertical="center"/>
    </xf>
    <xf numFmtId="0" fontId="3" fillId="28" borderId="14" xfId="56" applyFont="1" applyFill="1" applyBorder="1" applyAlignment="1">
      <alignment horizontal="left" vertical="center"/>
    </xf>
    <xf numFmtId="0" fontId="3" fillId="28" borderId="15" xfId="56" applyFont="1" applyFill="1" applyBorder="1" applyAlignment="1">
      <alignment horizontal="left" vertical="center"/>
    </xf>
    <xf numFmtId="0" fontId="3" fillId="28" borderId="16" xfId="56" applyFont="1" applyFill="1" applyBorder="1" applyAlignment="1">
      <alignment horizontal="left" vertical="center"/>
    </xf>
    <xf numFmtId="0" fontId="3" fillId="28" borderId="13" xfId="56" applyFont="1" applyFill="1" applyBorder="1" applyAlignment="1">
      <alignment horizontal="left" vertical="center" wrapText="1"/>
    </xf>
    <xf numFmtId="0" fontId="3" fillId="27" borderId="0" xfId="56" applyFont="1" applyFill="1"/>
    <xf numFmtId="0" fontId="1" fillId="34" borderId="17" xfId="56" applyFont="1" applyFill="1" applyBorder="1" applyAlignment="1">
      <alignment horizontal="left" vertical="center"/>
    </xf>
    <xf numFmtId="0" fontId="1" fillId="0" borderId="0" xfId="56" applyFill="1"/>
    <xf numFmtId="0" fontId="1" fillId="34" borderId="18" xfId="56" applyFont="1" applyFill="1" applyBorder="1" applyAlignment="1">
      <alignment horizontal="left" vertical="center"/>
    </xf>
    <xf numFmtId="0" fontId="1" fillId="35" borderId="18" xfId="56" applyFont="1" applyFill="1" applyBorder="1" applyAlignment="1">
      <alignment horizontal="left" vertical="center"/>
    </xf>
    <xf numFmtId="0" fontId="1" fillId="35" borderId="19" xfId="56" applyFont="1" applyFill="1" applyBorder="1" applyAlignment="1">
      <alignment horizontal="left" vertical="center"/>
    </xf>
    <xf numFmtId="0" fontId="1" fillId="35" borderId="20" xfId="56" applyFont="1" applyFill="1" applyBorder="1" applyAlignment="1">
      <alignment horizontal="left" vertical="center"/>
    </xf>
    <xf numFmtId="14" fontId="1" fillId="27" borderId="0" xfId="56" applyNumberFormat="1" applyFont="1" applyFill="1" applyAlignment="1">
      <alignment horizontal="left"/>
    </xf>
    <xf numFmtId="0" fontId="1" fillId="27" borderId="0" xfId="56" applyFont="1" applyFill="1"/>
    <xf numFmtId="0" fontId="1" fillId="36" borderId="0" xfId="56" applyFont="1" applyFill="1"/>
    <xf numFmtId="0" fontId="1" fillId="36" borderId="0" xfId="56" applyFill="1"/>
    <xf numFmtId="49" fontId="1" fillId="27" borderId="0" xfId="56" applyNumberFormat="1" applyFont="1" applyFill="1"/>
    <xf numFmtId="0" fontId="3" fillId="0" borderId="13" xfId="56" applyFont="1" applyBorder="1" applyAlignment="1" applyProtection="1">
      <protection locked="0"/>
    </xf>
    <xf numFmtId="0" fontId="1" fillId="0" borderId="21" xfId="56" applyBorder="1" applyAlignment="1" applyProtection="1">
      <protection locked="0"/>
    </xf>
    <xf numFmtId="0" fontId="1" fillId="0" borderId="22" xfId="56" applyBorder="1" applyProtection="1">
      <protection locked="0"/>
    </xf>
    <xf numFmtId="0" fontId="3" fillId="0" borderId="22" xfId="56" applyFont="1" applyBorder="1" applyProtection="1">
      <protection locked="0"/>
    </xf>
    <xf numFmtId="0" fontId="1" fillId="27" borderId="0" xfId="56" applyFill="1" applyAlignment="1">
      <alignment horizontal="center"/>
    </xf>
    <xf numFmtId="0" fontId="3" fillId="29" borderId="0" xfId="56" applyFont="1" applyFill="1" applyBorder="1" applyAlignment="1" applyProtection="1">
      <alignment horizontal="left"/>
      <protection locked="0"/>
    </xf>
    <xf numFmtId="0" fontId="1" fillId="27" borderId="0" xfId="56" applyFill="1" applyAlignment="1">
      <alignment horizontal="right"/>
    </xf>
    <xf numFmtId="0" fontId="1" fillId="0" borderId="14" xfId="56" applyFill="1" applyBorder="1"/>
    <xf numFmtId="0" fontId="1" fillId="0" borderId="16" xfId="56" applyFill="1" applyBorder="1"/>
    <xf numFmtId="0" fontId="1" fillId="27" borderId="0" xfId="56" applyFill="1" applyBorder="1" applyAlignment="1">
      <alignment vertical="top" wrapText="1"/>
    </xf>
    <xf numFmtId="0" fontId="6" fillId="27" borderId="0" xfId="56" applyFont="1" applyFill="1"/>
    <xf numFmtId="0" fontId="8" fillId="37" borderId="23" xfId="56" applyFont="1" applyFill="1" applyBorder="1"/>
    <xf numFmtId="0" fontId="1" fillId="37" borderId="24" xfId="56" applyFill="1" applyBorder="1"/>
    <xf numFmtId="0" fontId="1" fillId="37" borderId="25" xfId="56" applyFill="1" applyBorder="1"/>
    <xf numFmtId="0" fontId="1" fillId="37" borderId="26" xfId="56" applyFill="1" applyBorder="1"/>
    <xf numFmtId="0" fontId="1" fillId="37" borderId="0" xfId="56" applyFill="1" applyBorder="1"/>
    <xf numFmtId="0" fontId="1" fillId="37" borderId="27" xfId="56" applyFill="1" applyBorder="1"/>
    <xf numFmtId="0" fontId="41" fillId="37" borderId="28" xfId="0" applyFont="1" applyFill="1" applyBorder="1"/>
    <xf numFmtId="0" fontId="1" fillId="37" borderId="18" xfId="56" applyFill="1" applyBorder="1"/>
    <xf numFmtId="0" fontId="1" fillId="37" borderId="29" xfId="56" applyFill="1" applyBorder="1"/>
    <xf numFmtId="0" fontId="5" fillId="27" borderId="0" xfId="56" applyFont="1" applyFill="1" applyAlignment="1">
      <alignment horizontal="center"/>
    </xf>
    <xf numFmtId="0" fontId="3" fillId="28" borderId="30" xfId="56" applyFont="1" applyFill="1" applyBorder="1" applyAlignment="1">
      <alignment horizontal="center"/>
    </xf>
    <xf numFmtId="0" fontId="1" fillId="0" borderId="30" xfId="56" applyFont="1" applyBorder="1" applyProtection="1">
      <protection locked="0"/>
    </xf>
    <xf numFmtId="0" fontId="42" fillId="0" borderId="30" xfId="0" applyFont="1" applyFill="1" applyBorder="1" applyAlignment="1">
      <alignment wrapText="1"/>
    </xf>
    <xf numFmtId="1" fontId="42" fillId="0" borderId="30" xfId="0" applyNumberFormat="1" applyFont="1" applyFill="1" applyBorder="1"/>
    <xf numFmtId="0" fontId="42" fillId="0" borderId="30" xfId="0" applyFont="1" applyBorder="1" applyProtection="1">
      <protection locked="0"/>
    </xf>
    <xf numFmtId="0" fontId="42" fillId="0" borderId="30" xfId="0" applyFont="1" applyFill="1" applyBorder="1" applyProtection="1">
      <protection locked="0"/>
    </xf>
    <xf numFmtId="0" fontId="42" fillId="0" borderId="30" xfId="0" applyFont="1" applyBorder="1" applyAlignment="1" applyProtection="1">
      <alignment horizontal="center"/>
      <protection locked="0"/>
    </xf>
    <xf numFmtId="0" fontId="3" fillId="30" borderId="30" xfId="56" applyFont="1" applyFill="1" applyBorder="1"/>
    <xf numFmtId="0" fontId="1" fillId="30" borderId="30" xfId="56" applyFill="1" applyBorder="1" applyAlignment="1">
      <alignment vertical="top"/>
    </xf>
    <xf numFmtId="0" fontId="1" fillId="30" borderId="30" xfId="56" applyFill="1" applyBorder="1"/>
    <xf numFmtId="0" fontId="1" fillId="30" borderId="30" xfId="56" applyFill="1" applyBorder="1" applyAlignment="1">
      <alignment horizontal="left"/>
    </xf>
    <xf numFmtId="0" fontId="1" fillId="30" borderId="30" xfId="56" applyFill="1" applyBorder="1" applyAlignment="1"/>
    <xf numFmtId="0" fontId="1" fillId="30" borderId="19" xfId="56" applyFill="1" applyBorder="1" applyAlignment="1"/>
    <xf numFmtId="0" fontId="1" fillId="30" borderId="21" xfId="56" applyFill="1" applyBorder="1" applyAlignment="1"/>
    <xf numFmtId="0" fontId="1" fillId="0" borderId="30" xfId="56" applyBorder="1" applyAlignment="1" applyProtection="1">
      <alignment vertical="top"/>
      <protection locked="0"/>
    </xf>
    <xf numFmtId="11" fontId="42" fillId="31" borderId="30" xfId="40" applyNumberFormat="1" applyFont="1" applyFill="1" applyBorder="1" applyAlignment="1" applyProtection="1">
      <alignment vertical="top"/>
      <protection hidden="1"/>
    </xf>
    <xf numFmtId="0" fontId="42" fillId="31" borderId="30" xfId="0" applyFont="1" applyFill="1" applyBorder="1" applyAlignment="1" applyProtection="1">
      <alignment vertical="top"/>
      <protection hidden="1"/>
    </xf>
    <xf numFmtId="2" fontId="42" fillId="31" borderId="30" xfId="0" applyNumberFormat="1" applyFont="1" applyFill="1" applyBorder="1" applyAlignment="1" applyProtection="1">
      <alignment vertical="top"/>
      <protection hidden="1"/>
    </xf>
    <xf numFmtId="0" fontId="1" fillId="0" borderId="30" xfId="56" applyBorder="1" applyAlignment="1" applyProtection="1">
      <alignment horizontal="center" vertical="top"/>
      <protection locked="0"/>
    </xf>
    <xf numFmtId="0" fontId="1" fillId="0" borderId="30" xfId="56" applyBorder="1" applyAlignment="1" applyProtection="1">
      <alignment vertical="top" wrapText="1"/>
      <protection locked="0"/>
    </xf>
    <xf numFmtId="0" fontId="42" fillId="0" borderId="30" xfId="0" applyFont="1" applyFill="1" applyBorder="1"/>
    <xf numFmtId="0" fontId="1" fillId="0" borderId="30" xfId="56" applyFont="1" applyBorder="1" applyAlignment="1" applyProtection="1">
      <alignment vertical="top"/>
      <protection locked="0"/>
    </xf>
    <xf numFmtId="0" fontId="42" fillId="0" borderId="30" xfId="0" applyFont="1" applyBorder="1"/>
    <xf numFmtId="0" fontId="3" fillId="30" borderId="30" xfId="56" applyFont="1" applyFill="1" applyBorder="1" applyAlignment="1">
      <alignment vertical="top"/>
    </xf>
    <xf numFmtId="0" fontId="1" fillId="30" borderId="30" xfId="56" applyFill="1" applyBorder="1" applyAlignment="1">
      <alignment horizontal="center" vertical="top"/>
    </xf>
    <xf numFmtId="0" fontId="1" fillId="30" borderId="30" xfId="56" applyFill="1" applyBorder="1" applyAlignment="1">
      <alignment vertical="top" wrapText="1"/>
    </xf>
    <xf numFmtId="0" fontId="1" fillId="0" borderId="30" xfId="56" applyFont="1" applyFill="1" applyBorder="1" applyAlignment="1" applyProtection="1">
      <alignment vertical="top"/>
      <protection locked="0"/>
    </xf>
    <xf numFmtId="0" fontId="1" fillId="0" borderId="30" xfId="56" applyFont="1" applyFill="1" applyBorder="1"/>
    <xf numFmtId="0" fontId="42" fillId="0" borderId="30" xfId="0" applyFont="1" applyBorder="1" applyAlignment="1" applyProtection="1">
      <alignment vertical="top"/>
      <protection locked="0"/>
    </xf>
    <xf numFmtId="0" fontId="1" fillId="0" borderId="30" xfId="56" applyFill="1" applyBorder="1" applyAlignment="1" applyProtection="1">
      <alignment horizontal="center" vertical="top" wrapText="1"/>
      <protection locked="0"/>
    </xf>
    <xf numFmtId="0" fontId="1" fillId="0" borderId="30" xfId="0" applyFont="1" applyBorder="1"/>
    <xf numFmtId="0" fontId="1" fillId="30" borderId="30" xfId="56" applyFont="1" applyFill="1" applyBorder="1" applyAlignment="1">
      <alignment vertical="top"/>
    </xf>
    <xf numFmtId="11" fontId="1" fillId="30" borderId="30" xfId="40" applyNumberFormat="1" applyFont="1" applyFill="1" applyBorder="1" applyAlignment="1" applyProtection="1">
      <alignment vertical="top"/>
      <protection hidden="1"/>
    </xf>
    <xf numFmtId="0" fontId="1" fillId="30" borderId="30" xfId="56" applyFill="1" applyBorder="1" applyAlignment="1" applyProtection="1">
      <alignment vertical="top"/>
      <protection hidden="1"/>
    </xf>
    <xf numFmtId="0" fontId="7" fillId="27" borderId="0" xfId="56" applyFont="1" applyFill="1"/>
    <xf numFmtId="0" fontId="11" fillId="27" borderId="0" xfId="56" applyFont="1" applyFill="1"/>
    <xf numFmtId="0" fontId="43" fillId="0" borderId="0" xfId="56" applyFont="1" applyFill="1" applyAlignment="1">
      <alignment horizontal="center"/>
    </xf>
    <xf numFmtId="164" fontId="42" fillId="0" borderId="30" xfId="0" applyNumberFormat="1" applyFont="1" applyFill="1" applyBorder="1"/>
    <xf numFmtId="2" fontId="42" fillId="0" borderId="30" xfId="0" applyNumberFormat="1" applyFont="1" applyFill="1" applyBorder="1"/>
    <xf numFmtId="0" fontId="3" fillId="28" borderId="0" xfId="56" applyFont="1" applyFill="1" applyAlignment="1">
      <alignment vertical="top" wrapText="1"/>
    </xf>
    <xf numFmtId="0" fontId="12" fillId="28" borderId="0" xfId="56" applyFont="1" applyFill="1" applyAlignment="1">
      <alignment horizontal="left" vertical="top" wrapText="1"/>
    </xf>
    <xf numFmtId="0" fontId="1" fillId="28" borderId="0" xfId="56" applyFont="1" applyFill="1" applyAlignment="1">
      <alignment horizontal="left" vertical="top" wrapText="1"/>
    </xf>
    <xf numFmtId="0" fontId="1" fillId="28" borderId="0" xfId="56" applyFill="1" applyAlignment="1">
      <alignment horizontal="left" vertical="top" wrapText="1"/>
    </xf>
    <xf numFmtId="0" fontId="1" fillId="28" borderId="0" xfId="56" applyFill="1" applyAlignment="1">
      <alignment vertical="top" wrapText="1"/>
    </xf>
    <xf numFmtId="0" fontId="1" fillId="32" borderId="0" xfId="56" applyFont="1" applyFill="1" applyAlignment="1" applyProtection="1">
      <alignment vertical="top" wrapText="1"/>
      <protection hidden="1"/>
    </xf>
    <xf numFmtId="0" fontId="3" fillId="32" borderId="0" xfId="56" applyFont="1" applyFill="1" applyAlignment="1" applyProtection="1">
      <alignment horizontal="left" vertical="top" wrapText="1"/>
      <protection hidden="1"/>
    </xf>
    <xf numFmtId="0" fontId="3" fillId="32" borderId="0" xfId="56" applyFont="1" applyFill="1" applyAlignment="1" applyProtection="1">
      <alignment horizontal="center" vertical="top" wrapText="1"/>
      <protection hidden="1"/>
    </xf>
    <xf numFmtId="0" fontId="3" fillId="32" borderId="0" xfId="56" applyFont="1" applyFill="1" applyAlignment="1" applyProtection="1">
      <alignment vertical="top" wrapText="1"/>
      <protection hidden="1"/>
    </xf>
    <xf numFmtId="0" fontId="1" fillId="0" borderId="0" xfId="56" applyFont="1" applyFill="1" applyAlignment="1">
      <alignment vertical="top" wrapText="1"/>
    </xf>
    <xf numFmtId="0" fontId="1" fillId="0" borderId="0" xfId="56" applyFont="1" applyFill="1" applyAlignment="1" applyProtection="1">
      <alignment horizontal="left" vertical="top" wrapText="1"/>
      <protection locked="0"/>
    </xf>
    <xf numFmtId="0" fontId="1" fillId="0" borderId="0" xfId="56" applyFill="1" applyAlignment="1" applyProtection="1">
      <alignment horizontal="left" vertical="top" wrapText="1"/>
      <protection locked="0"/>
    </xf>
    <xf numFmtId="0" fontId="1" fillId="0" borderId="0" xfId="56" applyFill="1" applyAlignment="1" applyProtection="1">
      <alignment vertical="top" wrapText="1"/>
      <protection locked="0"/>
    </xf>
    <xf numFmtId="0" fontId="1" fillId="0" borderId="0" xfId="56" applyFill="1" applyProtection="1">
      <protection locked="0"/>
    </xf>
    <xf numFmtId="0" fontId="10" fillId="0" borderId="0" xfId="56" applyFont="1" applyFill="1" applyAlignment="1" applyProtection="1">
      <alignment horizontal="left" vertical="top" wrapText="1"/>
      <protection locked="0"/>
    </xf>
    <xf numFmtId="0" fontId="1" fillId="0" borderId="0" xfId="56" applyFont="1" applyFill="1" applyAlignment="1" applyProtection="1">
      <alignment vertical="top" wrapText="1"/>
      <protection locked="0"/>
    </xf>
    <xf numFmtId="0" fontId="1" fillId="38" borderId="0" xfId="56" applyFont="1" applyFill="1" applyAlignment="1">
      <alignment vertical="top" wrapText="1"/>
    </xf>
    <xf numFmtId="0" fontId="1" fillId="38" borderId="0" xfId="56" applyFont="1" applyFill="1" applyAlignment="1" applyProtection="1">
      <alignment horizontal="left" vertical="top" wrapText="1"/>
      <protection locked="0"/>
    </xf>
    <xf numFmtId="0" fontId="1" fillId="38" borderId="0" xfId="56" applyFill="1" applyAlignment="1" applyProtection="1">
      <alignment horizontal="left" vertical="top" wrapText="1"/>
      <protection locked="0"/>
    </xf>
    <xf numFmtId="0" fontId="1" fillId="38" borderId="0" xfId="56" applyFill="1" applyAlignment="1" applyProtection="1">
      <alignment vertical="top" wrapText="1"/>
      <protection locked="0"/>
    </xf>
    <xf numFmtId="0" fontId="1" fillId="38" borderId="0" xfId="56" applyFont="1" applyFill="1" applyAlignment="1" applyProtection="1">
      <alignment vertical="top" wrapText="1"/>
      <protection locked="0"/>
    </xf>
    <xf numFmtId="0" fontId="1" fillId="38" borderId="0" xfId="56" applyFill="1" applyProtection="1">
      <protection locked="0"/>
    </xf>
    <xf numFmtId="0" fontId="5" fillId="38" borderId="0" xfId="56" applyFont="1" applyFill="1" applyProtection="1">
      <protection locked="0"/>
    </xf>
    <xf numFmtId="49" fontId="1" fillId="0" borderId="0" xfId="56" applyNumberFormat="1" applyFont="1" applyFill="1" applyAlignment="1" applyProtection="1">
      <alignment horizontal="left" vertical="top" wrapText="1"/>
      <protection locked="0"/>
    </xf>
    <xf numFmtId="49" fontId="1" fillId="0" borderId="0" xfId="56" applyNumberFormat="1" applyFill="1" applyAlignment="1" applyProtection="1">
      <alignment horizontal="left" vertical="top" wrapText="1"/>
      <protection locked="0"/>
    </xf>
    <xf numFmtId="49" fontId="1" fillId="0" borderId="0" xfId="56" applyNumberFormat="1" applyFill="1" applyAlignment="1" applyProtection="1">
      <alignment vertical="top" wrapText="1"/>
      <protection locked="0"/>
    </xf>
    <xf numFmtId="49" fontId="1" fillId="0" borderId="0" xfId="56" applyNumberFormat="1" applyFill="1" applyProtection="1">
      <protection locked="0"/>
    </xf>
    <xf numFmtId="0" fontId="1" fillId="38" borderId="0" xfId="51" applyFont="1" applyFill="1" applyAlignment="1" applyProtection="1">
      <alignment horizontal="left" vertical="top" wrapText="1"/>
      <protection locked="0"/>
    </xf>
    <xf numFmtId="49" fontId="1" fillId="38" borderId="0" xfId="56" applyNumberFormat="1" applyFont="1" applyFill="1" applyAlignment="1" applyProtection="1">
      <alignment horizontal="left" vertical="top" wrapText="1"/>
      <protection locked="0"/>
    </xf>
    <xf numFmtId="49" fontId="1" fillId="38" borderId="0" xfId="56" applyNumberFormat="1" applyFill="1" applyAlignment="1" applyProtection="1">
      <alignment horizontal="left" vertical="top" wrapText="1"/>
      <protection locked="0"/>
    </xf>
    <xf numFmtId="49" fontId="1" fillId="38" borderId="0" xfId="56" applyNumberFormat="1" applyFill="1" applyAlignment="1" applyProtection="1">
      <alignment vertical="top" wrapText="1"/>
      <protection locked="0"/>
    </xf>
    <xf numFmtId="49" fontId="1" fillId="38" borderId="0" xfId="56" applyNumberFormat="1" applyFill="1" applyProtection="1">
      <protection locked="0"/>
    </xf>
    <xf numFmtId="0" fontId="10" fillId="38" borderId="0" xfId="56" applyFont="1" applyFill="1" applyAlignment="1" applyProtection="1">
      <alignment horizontal="left"/>
      <protection locked="0"/>
    </xf>
    <xf numFmtId="0" fontId="1" fillId="0" borderId="0" xfId="56" applyFont="1" applyFill="1" applyAlignment="1">
      <alignment horizontal="left" vertical="top"/>
    </xf>
    <xf numFmtId="0" fontId="42" fillId="0" borderId="0" xfId="0" applyFont="1" applyAlignment="1">
      <alignment horizontal="left" vertical="top"/>
    </xf>
    <xf numFmtId="0" fontId="1" fillId="0" borderId="0" xfId="56" applyFont="1" applyAlignment="1">
      <alignment horizontal="left" vertical="top"/>
    </xf>
    <xf numFmtId="0" fontId="13" fillId="0" borderId="0" xfId="51" applyFont="1" applyFill="1" applyAlignment="1" applyProtection="1">
      <alignment horizontal="left" vertical="top"/>
      <protection locked="0"/>
    </xf>
    <xf numFmtId="0" fontId="1" fillId="0" borderId="0" xfId="56" applyFont="1" applyFill="1" applyAlignment="1" applyProtection="1">
      <alignment horizontal="left" vertical="top"/>
      <protection locked="0"/>
    </xf>
    <xf numFmtId="0" fontId="1" fillId="0" borderId="0" xfId="51" applyFont="1" applyFill="1" applyAlignment="1" applyProtection="1">
      <alignment horizontal="left" vertical="top"/>
      <protection locked="0"/>
    </xf>
    <xf numFmtId="49" fontId="1" fillId="0" borderId="0" xfId="56" applyNumberFormat="1" applyFont="1" applyFill="1" applyAlignment="1">
      <alignment horizontal="left" vertical="top" wrapText="1"/>
    </xf>
    <xf numFmtId="49" fontId="42" fillId="0" borderId="0" xfId="0" applyNumberFormat="1" applyFont="1" applyAlignment="1">
      <alignment horizontal="left" vertical="top" wrapText="1"/>
    </xf>
    <xf numFmtId="49" fontId="1" fillId="0" borderId="0" xfId="56" applyNumberFormat="1" applyFont="1" applyAlignment="1">
      <alignment horizontal="left" vertical="top" wrapText="1"/>
    </xf>
    <xf numFmtId="49" fontId="13" fillId="0" borderId="0" xfId="51" applyNumberFormat="1" applyFont="1" applyFill="1" applyAlignment="1" applyProtection="1">
      <alignment horizontal="left" vertical="top" wrapText="1"/>
      <protection locked="0"/>
    </xf>
    <xf numFmtId="49" fontId="1" fillId="0" borderId="0" xfId="51" applyNumberFormat="1" applyFont="1" applyFill="1" applyAlignment="1" applyProtection="1">
      <alignment horizontal="left" vertical="top" wrapText="1"/>
      <protection locked="0"/>
    </xf>
    <xf numFmtId="0" fontId="1" fillId="38" borderId="0" xfId="56" applyNumberFormat="1" applyFont="1" applyFill="1" applyAlignment="1" applyProtection="1">
      <alignment horizontal="left" vertical="top" wrapText="1"/>
      <protection locked="0"/>
    </xf>
    <xf numFmtId="0" fontId="5" fillId="38" borderId="0" xfId="56" applyFont="1" applyFill="1" applyAlignment="1" applyProtection="1">
      <alignment horizontal="left" vertical="top" wrapText="1"/>
      <protection locked="0"/>
    </xf>
    <xf numFmtId="0" fontId="5" fillId="38" borderId="0" xfId="56" applyFont="1" applyFill="1" applyAlignment="1" applyProtection="1">
      <alignment vertical="top" wrapText="1"/>
      <protection locked="0"/>
    </xf>
    <xf numFmtId="0" fontId="1" fillId="38" borderId="0" xfId="56" applyFont="1" applyFill="1" applyProtection="1">
      <protection locked="0"/>
    </xf>
    <xf numFmtId="0" fontId="1" fillId="33" borderId="0" xfId="56" applyFill="1" applyAlignment="1">
      <alignment vertical="top" wrapText="1"/>
    </xf>
    <xf numFmtId="0" fontId="1" fillId="33" borderId="0" xfId="56" applyFill="1" applyAlignment="1">
      <alignment horizontal="left" vertical="top" wrapText="1"/>
    </xf>
    <xf numFmtId="0" fontId="7" fillId="0" borderId="0" xfId="56" applyFont="1" applyFill="1" applyAlignment="1">
      <alignment wrapText="1"/>
    </xf>
    <xf numFmtId="0" fontId="1" fillId="0" borderId="0" xfId="56" applyAlignment="1">
      <alignment horizontal="left" vertical="top" wrapText="1"/>
    </xf>
    <xf numFmtId="0" fontId="1" fillId="0" borderId="0" xfId="56" applyAlignment="1">
      <alignment vertical="top" wrapText="1"/>
    </xf>
    <xf numFmtId="0" fontId="3" fillId="0" borderId="0" xfId="56" applyFont="1" applyAlignment="1">
      <alignment vertical="top" wrapText="1"/>
    </xf>
    <xf numFmtId="0" fontId="3" fillId="0" borderId="0" xfId="56" applyFont="1" applyAlignment="1">
      <alignment horizontal="left" vertical="top" wrapText="1"/>
    </xf>
    <xf numFmtId="0" fontId="11" fillId="0" borderId="0" xfId="56" applyFont="1" applyAlignment="1">
      <alignment horizontal="left"/>
    </xf>
    <xf numFmtId="0" fontId="1" fillId="0" borderId="0" xfId="56" applyAlignment="1">
      <alignment horizontal="left"/>
    </xf>
    <xf numFmtId="0" fontId="14" fillId="0" borderId="0" xfId="56" applyFont="1" applyFill="1"/>
    <xf numFmtId="0" fontId="1" fillId="0" borderId="0" xfId="56" applyFont="1" applyAlignment="1">
      <alignment horizontal="left" wrapText="1"/>
    </xf>
    <xf numFmtId="0" fontId="3" fillId="0" borderId="30" xfId="56" applyFont="1" applyBorder="1" applyAlignment="1">
      <alignment horizontal="left"/>
    </xf>
    <xf numFmtId="0" fontId="1" fillId="0" borderId="30" xfId="56" applyFont="1" applyBorder="1" applyAlignment="1">
      <alignment horizontal="left" wrapText="1"/>
    </xf>
    <xf numFmtId="0" fontId="1" fillId="0" borderId="30" xfId="56" applyFont="1" applyBorder="1" applyAlignment="1">
      <alignment horizontal="left"/>
    </xf>
    <xf numFmtId="0" fontId="1" fillId="0" borderId="30" xfId="56" applyFont="1" applyBorder="1"/>
    <xf numFmtId="0" fontId="1" fillId="0" borderId="30" xfId="56" applyBorder="1"/>
    <xf numFmtId="0" fontId="1" fillId="35" borderId="30" xfId="56" applyFont="1" applyFill="1" applyBorder="1" applyAlignment="1">
      <alignment horizontal="left" wrapText="1"/>
    </xf>
    <xf numFmtId="0" fontId="5" fillId="35" borderId="30" xfId="56" applyFont="1" applyFill="1" applyBorder="1" applyAlignment="1">
      <alignment horizontal="left" wrapText="1"/>
    </xf>
    <xf numFmtId="0" fontId="5" fillId="35" borderId="30" xfId="56" applyFont="1" applyFill="1" applyBorder="1" applyAlignment="1">
      <alignment horizontal="left"/>
    </xf>
    <xf numFmtId="0" fontId="1" fillId="35" borderId="30" xfId="56" applyFont="1" applyFill="1" applyBorder="1" applyAlignment="1">
      <alignment horizontal="left"/>
    </xf>
    <xf numFmtId="0" fontId="3" fillId="0" borderId="30" xfId="56" applyFont="1" applyFill="1" applyBorder="1" applyAlignment="1">
      <alignment horizontal="left"/>
    </xf>
    <xf numFmtId="0" fontId="1" fillId="0" borderId="30" xfId="56" applyBorder="1" applyAlignment="1">
      <alignment horizontal="left"/>
    </xf>
    <xf numFmtId="0" fontId="3" fillId="39" borderId="30" xfId="56" applyFont="1" applyFill="1" applyBorder="1" applyAlignment="1">
      <alignment horizontal="left" wrapText="1"/>
    </xf>
    <xf numFmtId="0" fontId="15" fillId="29" borderId="0" xfId="56" applyFont="1" applyFill="1"/>
    <xf numFmtId="0" fontId="1" fillId="29" borderId="0" xfId="56" applyFill="1"/>
    <xf numFmtId="0" fontId="3" fillId="31" borderId="31" xfId="56" applyFont="1" applyFill="1" applyBorder="1" applyAlignment="1">
      <alignment horizontal="center"/>
    </xf>
    <xf numFmtId="0" fontId="16" fillId="0" borderId="31" xfId="56" applyFont="1" applyBorder="1" applyAlignment="1">
      <alignment wrapText="1"/>
    </xf>
    <xf numFmtId="0" fontId="17" fillId="0" borderId="31" xfId="56" applyFont="1" applyBorder="1" applyAlignment="1">
      <alignment wrapText="1"/>
    </xf>
    <xf numFmtId="0" fontId="3" fillId="0" borderId="32" xfId="56" applyFont="1" applyBorder="1" applyAlignment="1">
      <alignment wrapText="1"/>
    </xf>
    <xf numFmtId="0" fontId="3" fillId="0" borderId="0" xfId="56" applyFont="1" applyFill="1" applyBorder="1" applyAlignment="1">
      <alignment wrapText="1"/>
    </xf>
    <xf numFmtId="0" fontId="16" fillId="0" borderId="0" xfId="56" applyFont="1" applyBorder="1" applyAlignment="1">
      <alignment wrapText="1"/>
    </xf>
    <xf numFmtId="0" fontId="15" fillId="0" borderId="0" xfId="0" applyFont="1" applyFill="1"/>
    <xf numFmtId="0" fontId="1" fillId="0" borderId="0" xfId="0" applyFont="1"/>
    <xf numFmtId="0" fontId="3" fillId="0" borderId="23" xfId="0" applyFont="1" applyBorder="1" applyAlignment="1">
      <alignment horizontal="left" vertical="center"/>
    </xf>
    <xf numFmtId="0" fontId="1" fillId="0" borderId="24" xfId="0" applyFont="1" applyBorder="1"/>
    <xf numFmtId="0" fontId="1" fillId="0" borderId="25" xfId="0" applyFont="1" applyBorder="1"/>
    <xf numFmtId="0" fontId="0" fillId="0" borderId="26" xfId="0" applyBorder="1"/>
    <xf numFmtId="0" fontId="3" fillId="0" borderId="0" xfId="0" applyFont="1" applyAlignment="1">
      <alignment wrapText="1"/>
    </xf>
    <xf numFmtId="0" fontId="3" fillId="0" borderId="30" xfId="0" applyFont="1" applyBorder="1" applyAlignment="1">
      <alignment vertical="center"/>
    </xf>
    <xf numFmtId="0" fontId="1" fillId="0" borderId="24" xfId="0" applyFont="1" applyBorder="1" applyAlignment="1">
      <alignment vertical="center"/>
    </xf>
    <xf numFmtId="0" fontId="1" fillId="0" borderId="25" xfId="0" applyFont="1" applyBorder="1" applyAlignment="1">
      <alignment vertical="center"/>
    </xf>
    <xf numFmtId="0" fontId="1" fillId="0" borderId="26" xfId="0" applyFont="1" applyBorder="1" applyAlignment="1">
      <alignment horizontal="left" vertical="center"/>
    </xf>
    <xf numFmtId="0" fontId="1" fillId="0" borderId="0" xfId="0" applyFont="1" applyBorder="1" applyAlignment="1">
      <alignment vertical="center"/>
    </xf>
    <xf numFmtId="0" fontId="1" fillId="0" borderId="27" xfId="0" applyFont="1" applyBorder="1" applyAlignment="1">
      <alignment vertical="center"/>
    </xf>
    <xf numFmtId="0" fontId="1" fillId="0" borderId="0" xfId="0" applyFont="1" applyAlignment="1">
      <alignment wrapText="1"/>
    </xf>
    <xf numFmtId="0" fontId="0" fillId="0" borderId="28" xfId="0" applyBorder="1"/>
    <xf numFmtId="0" fontId="18" fillId="0" borderId="0" xfId="0" applyFont="1"/>
    <xf numFmtId="0" fontId="15" fillId="0" borderId="0" xfId="0" applyFont="1" applyFill="1" applyBorder="1" applyAlignment="1">
      <alignment horizontal="left"/>
    </xf>
    <xf numFmtId="0" fontId="19" fillId="0" borderId="0" xfId="0" applyFont="1"/>
    <xf numFmtId="0" fontId="0" fillId="0" borderId="18" xfId="0" applyBorder="1"/>
    <xf numFmtId="0" fontId="0" fillId="0" borderId="29" xfId="0" applyBorder="1"/>
    <xf numFmtId="0" fontId="1" fillId="0" borderId="28" xfId="0" applyFont="1" applyBorder="1"/>
    <xf numFmtId="0" fontId="42" fillId="0" borderId="0" xfId="0" applyFont="1"/>
    <xf numFmtId="0" fontId="1" fillId="0" borderId="0" xfId="56" applyFont="1" applyFill="1"/>
    <xf numFmtId="0" fontId="1" fillId="0" borderId="0" xfId="56" applyFont="1" applyFill="1" applyAlignment="1">
      <alignment horizontal="right"/>
    </xf>
    <xf numFmtId="0" fontId="1" fillId="0" borderId="0" xfId="56" applyFont="1"/>
    <xf numFmtId="0" fontId="8" fillId="0" borderId="0" xfId="56" applyFont="1"/>
    <xf numFmtId="0" fontId="3" fillId="0" borderId="18" xfId="56" applyFont="1" applyBorder="1"/>
    <xf numFmtId="2" fontId="42" fillId="0" borderId="0" xfId="0" applyNumberFormat="1" applyFont="1"/>
    <xf numFmtId="2" fontId="42" fillId="0" borderId="0" xfId="0" applyNumberFormat="1" applyFont="1" applyFill="1" applyBorder="1"/>
    <xf numFmtId="0" fontId="1" fillId="0" borderId="0" xfId="56" applyNumberFormat="1" applyFont="1"/>
    <xf numFmtId="166" fontId="1" fillId="0" borderId="0" xfId="56" applyNumberFormat="1" applyFont="1"/>
    <xf numFmtId="165" fontId="10" fillId="0" borderId="0" xfId="0" applyNumberFormat="1" applyFont="1" applyFill="1" applyBorder="1" applyAlignment="1">
      <alignment horizontal="right" vertical="center"/>
    </xf>
    <xf numFmtId="0" fontId="1" fillId="0" borderId="0" xfId="0" applyFont="1" applyBorder="1"/>
    <xf numFmtId="165" fontId="1" fillId="0" borderId="0" xfId="0" applyNumberFormat="1" applyFont="1"/>
    <xf numFmtId="0" fontId="1" fillId="0" borderId="0" xfId="0" applyFont="1" applyFill="1" applyBorder="1"/>
    <xf numFmtId="0" fontId="13" fillId="0" borderId="0" xfId="51" applyFont="1" applyAlignment="1" applyProtection="1"/>
    <xf numFmtId="0" fontId="1" fillId="0" borderId="19" xfId="56" applyFont="1" applyFill="1" applyBorder="1" applyAlignment="1">
      <alignment horizontal="center" vertical="center" wrapText="1"/>
    </xf>
    <xf numFmtId="174" fontId="42" fillId="0" borderId="30" xfId="0" applyNumberFormat="1" applyFont="1" applyFill="1" applyBorder="1"/>
    <xf numFmtId="0" fontId="0" fillId="0" borderId="0" xfId="0" applyFont="1"/>
    <xf numFmtId="0" fontId="46" fillId="0" borderId="0" xfId="56" applyFont="1" applyFill="1"/>
    <xf numFmtId="0" fontId="44" fillId="0" borderId="0" xfId="56" applyFont="1" applyFill="1" applyAlignment="1">
      <alignment horizontal="center"/>
    </xf>
    <xf numFmtId="0" fontId="46" fillId="0" borderId="0" xfId="56" applyFont="1" applyFill="1" applyBorder="1"/>
    <xf numFmtId="0" fontId="45" fillId="0" borderId="0" xfId="56" applyFont="1" applyFill="1" applyBorder="1"/>
    <xf numFmtId="0" fontId="39" fillId="36" borderId="0" xfId="56" applyFont="1" applyFill="1" applyBorder="1"/>
    <xf numFmtId="0" fontId="45" fillId="0" borderId="0" xfId="56" applyFont="1" applyFill="1" applyBorder="1" applyAlignment="1">
      <alignment horizontal="left"/>
    </xf>
    <xf numFmtId="0" fontId="45" fillId="0" borderId="26" xfId="56" applyFont="1" applyFill="1" applyBorder="1"/>
    <xf numFmtId="0" fontId="39" fillId="0" borderId="0" xfId="56" applyFont="1" applyFill="1"/>
    <xf numFmtId="0" fontId="47" fillId="0" borderId="0" xfId="56" applyFont="1" applyFill="1"/>
    <xf numFmtId="0" fontId="39" fillId="0" borderId="0" xfId="56" applyFont="1" applyFill="1" applyAlignment="1">
      <alignment horizontal="left"/>
    </xf>
    <xf numFmtId="0" fontId="39" fillId="0" borderId="26" xfId="56" applyFont="1" applyFill="1" applyBorder="1"/>
    <xf numFmtId="0" fontId="45" fillId="0" borderId="18" xfId="56" applyFont="1" applyFill="1" applyBorder="1" applyAlignment="1">
      <alignment horizontal="left"/>
    </xf>
    <xf numFmtId="0" fontId="48" fillId="0" borderId="18" xfId="56" applyFont="1" applyFill="1" applyBorder="1"/>
    <xf numFmtId="0" fontId="39" fillId="0" borderId="18" xfId="56" applyFont="1" applyFill="1" applyBorder="1"/>
    <xf numFmtId="0" fontId="39" fillId="0" borderId="28" xfId="56" applyFont="1" applyFill="1" applyBorder="1"/>
    <xf numFmtId="0" fontId="0" fillId="0" borderId="26" xfId="0" applyFont="1" applyBorder="1"/>
    <xf numFmtId="0" fontId="45" fillId="0" borderId="0" xfId="0" applyFont="1"/>
    <xf numFmtId="0" fontId="0" fillId="0" borderId="0" xfId="0" applyFont="1" applyAlignment="1">
      <alignment horizontal="left"/>
    </xf>
    <xf numFmtId="164" fontId="0" fillId="0" borderId="0" xfId="0" applyNumberFormat="1" applyFont="1"/>
    <xf numFmtId="0" fontId="0" fillId="36" borderId="0" xfId="0" applyFont="1" applyFill="1"/>
    <xf numFmtId="0" fontId="0" fillId="0" borderId="0" xfId="0" applyFont="1" applyAlignment="1">
      <alignment horizontal="right"/>
    </xf>
    <xf numFmtId="0" fontId="0" fillId="0" borderId="0" xfId="0" applyFont="1"/>
    <xf numFmtId="165" fontId="0" fillId="0" borderId="0" xfId="0" applyNumberFormat="1" applyFont="1"/>
    <xf numFmtId="0" fontId="42" fillId="0" borderId="30" xfId="0" applyFont="1" applyBorder="1" applyAlignment="1">
      <alignment vertical="top"/>
    </xf>
    <xf numFmtId="0" fontId="13" fillId="0" borderId="0" xfId="51" applyAlignment="1" applyProtection="1">
      <alignment horizontal="left" vertical="top"/>
    </xf>
    <xf numFmtId="2" fontId="1" fillId="27" borderId="0" xfId="56" applyNumberFormat="1" applyFill="1"/>
    <xf numFmtId="0" fontId="0" fillId="0" borderId="26" xfId="0" applyFont="1" applyBorder="1"/>
    <xf numFmtId="0" fontId="42" fillId="0" borderId="26" xfId="0" applyFont="1" applyBorder="1"/>
    <xf numFmtId="0" fontId="0" fillId="0" borderId="0" xfId="0" applyAlignment="1">
      <alignment horizontal="right"/>
    </xf>
    <xf numFmtId="11" fontId="42" fillId="31" borderId="30" xfId="0" applyNumberFormat="1" applyFont="1" applyFill="1" applyBorder="1" applyAlignment="1" applyProtection="1">
      <alignment vertical="top"/>
      <protection hidden="1"/>
    </xf>
    <xf numFmtId="164" fontId="42" fillId="0" borderId="30" xfId="0" applyNumberFormat="1" applyFont="1" applyFill="1" applyBorder="1" applyAlignment="1">
      <alignment horizontal="right"/>
    </xf>
    <xf numFmtId="164" fontId="42" fillId="0" borderId="30" xfId="0" applyNumberFormat="1" applyFont="1" applyBorder="1" applyProtection="1">
      <protection locked="0"/>
    </xf>
    <xf numFmtId="165" fontId="0" fillId="36" borderId="0" xfId="0" applyNumberFormat="1" applyFont="1" applyFill="1"/>
    <xf numFmtId="0" fontId="42" fillId="0" borderId="30" xfId="0" applyFont="1" applyBorder="1" applyAlignment="1">
      <alignment wrapText="1"/>
    </xf>
    <xf numFmtId="0" fontId="1" fillId="27" borderId="0" xfId="56" applyFont="1" applyFill="1" applyAlignment="1">
      <alignment horizontal="left" wrapText="1"/>
    </xf>
    <xf numFmtId="0" fontId="1" fillId="27" borderId="0" xfId="56" applyFont="1" applyFill="1" applyAlignment="1">
      <alignment horizontal="left" vertical="center" wrapText="1"/>
    </xf>
    <xf numFmtId="0" fontId="3" fillId="35" borderId="34" xfId="56" applyFont="1" applyFill="1" applyBorder="1" applyAlignment="1">
      <alignment horizontal="center" vertical="center" textRotation="90"/>
    </xf>
    <xf numFmtId="0" fontId="3" fillId="35" borderId="37" xfId="56" applyFont="1" applyFill="1" applyBorder="1" applyAlignment="1">
      <alignment horizontal="center" vertical="center" textRotation="90"/>
    </xf>
    <xf numFmtId="0" fontId="1" fillId="35" borderId="19" xfId="56" applyFont="1" applyFill="1" applyBorder="1" applyAlignment="1">
      <alignment horizontal="left" vertical="center" wrapText="1"/>
    </xf>
    <xf numFmtId="0" fontId="1" fillId="35" borderId="36" xfId="56" applyFont="1" applyFill="1" applyBorder="1" applyAlignment="1">
      <alignment horizontal="left" vertical="center" wrapText="1"/>
    </xf>
    <xf numFmtId="0" fontId="1" fillId="35" borderId="38" xfId="56" applyFont="1" applyFill="1" applyBorder="1" applyAlignment="1">
      <alignment horizontal="left" vertical="center" wrapText="1"/>
    </xf>
    <xf numFmtId="0" fontId="1" fillId="35" borderId="39" xfId="56" applyFont="1" applyFill="1" applyBorder="1" applyAlignment="1">
      <alignment horizontal="left" vertical="center" wrapText="1"/>
    </xf>
    <xf numFmtId="0" fontId="3" fillId="34" borderId="33" xfId="56" applyFont="1" applyFill="1" applyBorder="1" applyAlignment="1">
      <alignment horizontal="center" vertical="center" textRotation="90"/>
    </xf>
    <xf numFmtId="0" fontId="3" fillId="34" borderId="34" xfId="56" applyFont="1" applyFill="1" applyBorder="1" applyAlignment="1">
      <alignment horizontal="center" vertical="center" textRotation="90"/>
    </xf>
    <xf numFmtId="0" fontId="1" fillId="34" borderId="17" xfId="56" applyFont="1" applyFill="1" applyBorder="1" applyAlignment="1">
      <alignment horizontal="left" vertical="center" wrapText="1"/>
    </xf>
    <xf numFmtId="0" fontId="1" fillId="34" borderId="35" xfId="56" applyFont="1" applyFill="1" applyBorder="1" applyAlignment="1">
      <alignment horizontal="left" vertical="center" wrapText="1"/>
    </xf>
    <xf numFmtId="0" fontId="1" fillId="34" borderId="19" xfId="56" applyFont="1" applyFill="1" applyBorder="1" applyAlignment="1">
      <alignment horizontal="left" vertical="center" wrapText="1"/>
    </xf>
    <xf numFmtId="0" fontId="1" fillId="34" borderId="36" xfId="56" applyFont="1" applyFill="1" applyBorder="1" applyAlignment="1">
      <alignment horizontal="left" vertical="center" wrapText="1"/>
    </xf>
    <xf numFmtId="0" fontId="2" fillId="27" borderId="0" xfId="56" applyFont="1" applyFill="1" applyAlignment="1">
      <alignment horizontal="center"/>
    </xf>
    <xf numFmtId="0" fontId="3" fillId="28" borderId="14" xfId="56" applyFont="1" applyFill="1" applyBorder="1" applyAlignment="1">
      <alignment horizontal="left" vertical="center" wrapText="1"/>
    </xf>
    <xf numFmtId="0" fontId="3" fillId="28" borderId="15" xfId="56" applyFont="1" applyFill="1" applyBorder="1" applyAlignment="1">
      <alignment horizontal="left" vertical="center" wrapText="1"/>
    </xf>
    <xf numFmtId="0" fontId="3" fillId="28" borderId="16" xfId="56" applyFont="1" applyFill="1" applyBorder="1" applyAlignment="1">
      <alignment horizontal="left" vertical="center" wrapText="1"/>
    </xf>
    <xf numFmtId="0" fontId="1" fillId="28" borderId="14" xfId="56" applyFont="1" applyFill="1" applyBorder="1" applyAlignment="1">
      <alignment horizontal="left" vertical="center" wrapText="1"/>
    </xf>
    <xf numFmtId="0" fontId="1" fillId="28" borderId="15" xfId="56" applyFont="1" applyFill="1" applyBorder="1" applyAlignment="1">
      <alignment horizontal="left" vertical="center" wrapText="1"/>
    </xf>
    <xf numFmtId="0" fontId="1" fillId="28" borderId="16" xfId="56" applyFont="1" applyFill="1" applyBorder="1" applyAlignment="1">
      <alignment horizontal="left" vertical="center" wrapText="1"/>
    </xf>
    <xf numFmtId="0" fontId="1" fillId="0" borderId="13" xfId="56" applyFont="1" applyBorder="1" applyAlignment="1" applyProtection="1">
      <alignment horizontal="left"/>
      <protection locked="0"/>
    </xf>
    <xf numFmtId="0" fontId="1" fillId="0" borderId="19" xfId="56" applyFont="1" applyBorder="1" applyAlignment="1" applyProtection="1">
      <alignment horizontal="left"/>
      <protection locked="0"/>
    </xf>
    <xf numFmtId="0" fontId="1" fillId="0" borderId="21" xfId="56" applyFont="1" applyBorder="1" applyAlignment="1" applyProtection="1">
      <alignment horizontal="left"/>
      <protection locked="0"/>
    </xf>
    <xf numFmtId="0" fontId="1" fillId="0" borderId="30" xfId="56" applyFont="1" applyFill="1" applyBorder="1" applyAlignment="1" applyProtection="1">
      <alignment horizontal="left" vertical="top" wrapText="1"/>
      <protection locked="0"/>
    </xf>
    <xf numFmtId="0" fontId="1" fillId="30" borderId="30" xfId="56" applyFill="1" applyBorder="1" applyAlignment="1">
      <alignment horizontal="center" vertical="top" wrapText="1"/>
    </xf>
    <xf numFmtId="0" fontId="1" fillId="0" borderId="30" xfId="0" applyFont="1" applyBorder="1" applyAlignment="1" applyProtection="1">
      <alignment horizontal="left" vertical="top" wrapText="1"/>
      <protection locked="0"/>
    </xf>
    <xf numFmtId="0" fontId="4" fillId="0" borderId="30" xfId="0" applyFont="1" applyBorder="1" applyAlignment="1" applyProtection="1">
      <alignment horizontal="left" vertical="top" wrapText="1"/>
      <protection locked="0"/>
    </xf>
    <xf numFmtId="0" fontId="7" fillId="0" borderId="14" xfId="56" applyFont="1" applyBorder="1" applyAlignment="1">
      <alignment horizontal="center"/>
    </xf>
    <xf numFmtId="0" fontId="7" fillId="0" borderId="15" xfId="56" applyFont="1" applyBorder="1" applyAlignment="1">
      <alignment horizontal="center"/>
    </xf>
    <xf numFmtId="0" fontId="7" fillId="0" borderId="16" xfId="56" applyFont="1" applyBorder="1" applyAlignment="1">
      <alignment horizontal="center"/>
    </xf>
    <xf numFmtId="0" fontId="3" fillId="28" borderId="30" xfId="56" applyFont="1" applyFill="1" applyBorder="1" applyAlignment="1">
      <alignment horizontal="center"/>
    </xf>
    <xf numFmtId="0" fontId="3" fillId="28" borderId="13" xfId="56" applyFont="1" applyFill="1" applyBorder="1" applyAlignment="1">
      <alignment horizontal="left"/>
    </xf>
    <xf numFmtId="0" fontId="3" fillId="28" borderId="21" xfId="56" applyFont="1" applyFill="1" applyBorder="1" applyAlignment="1">
      <alignment horizontal="left"/>
    </xf>
    <xf numFmtId="0" fontId="1" fillId="0" borderId="21" xfId="56" applyBorder="1" applyAlignment="1" applyProtection="1">
      <alignment horizontal="left"/>
      <protection locked="0"/>
    </xf>
    <xf numFmtId="0" fontId="3" fillId="28" borderId="30" xfId="56" applyFont="1" applyFill="1" applyBorder="1" applyAlignment="1">
      <alignment horizontal="left"/>
    </xf>
    <xf numFmtId="0" fontId="1" fillId="0" borderId="30" xfId="56" applyBorder="1" applyAlignment="1" applyProtection="1">
      <alignment horizontal="left"/>
      <protection locked="0"/>
    </xf>
    <xf numFmtId="0" fontId="41" fillId="37" borderId="26" xfId="0" applyFont="1" applyFill="1" applyBorder="1" applyAlignment="1">
      <alignment horizontal="left" vertical="top" wrapText="1" readingOrder="1"/>
    </xf>
    <xf numFmtId="0" fontId="41" fillId="37" borderId="0" xfId="0" applyFont="1" applyFill="1" applyBorder="1" applyAlignment="1">
      <alignment horizontal="left" vertical="top" wrapText="1" readingOrder="1"/>
    </xf>
    <xf numFmtId="0" fontId="41" fillId="37" borderId="27" xfId="0" applyFont="1" applyFill="1" applyBorder="1" applyAlignment="1">
      <alignment horizontal="left" vertical="top" wrapText="1" readingOrder="1"/>
    </xf>
    <xf numFmtId="0" fontId="3" fillId="29" borderId="30" xfId="56" applyFont="1" applyFill="1" applyBorder="1" applyAlignment="1" applyProtection="1">
      <alignment horizontal="left"/>
      <protection locked="0"/>
    </xf>
    <xf numFmtId="0" fontId="3" fillId="28" borderId="13" xfId="56" applyFont="1" applyFill="1" applyBorder="1" applyAlignment="1">
      <alignment horizontal="center"/>
    </xf>
    <xf numFmtId="0" fontId="3" fillId="28" borderId="19" xfId="56" applyFont="1" applyFill="1" applyBorder="1" applyAlignment="1">
      <alignment horizontal="center"/>
    </xf>
    <xf numFmtId="0" fontId="3" fillId="28" borderId="21" xfId="56" applyFont="1" applyFill="1" applyBorder="1" applyAlignment="1">
      <alignment horizontal="center"/>
    </xf>
    <xf numFmtId="0" fontId="3" fillId="28" borderId="13" xfId="56" applyFont="1" applyFill="1" applyBorder="1" applyAlignment="1">
      <alignment horizontal="left" vertical="top"/>
    </xf>
    <xf numFmtId="0" fontId="3" fillId="28" borderId="21" xfId="56" applyFont="1" applyFill="1" applyBorder="1" applyAlignment="1">
      <alignment horizontal="left" vertical="top"/>
    </xf>
    <xf numFmtId="0" fontId="3" fillId="0" borderId="13" xfId="56" applyFont="1" applyBorder="1" applyAlignment="1" applyProtection="1">
      <alignment horizontal="left" vertical="top" wrapText="1"/>
      <protection locked="0"/>
    </xf>
    <xf numFmtId="0" fontId="3" fillId="0" borderId="19" xfId="56" applyFont="1" applyBorder="1" applyAlignment="1" applyProtection="1">
      <alignment horizontal="left" vertical="top" wrapText="1"/>
      <protection locked="0"/>
    </xf>
    <xf numFmtId="0" fontId="3" fillId="0" borderId="21" xfId="56" applyFont="1" applyBorder="1" applyAlignment="1" applyProtection="1">
      <alignment horizontal="left" vertical="top" wrapText="1"/>
      <protection locked="0"/>
    </xf>
    <xf numFmtId="0" fontId="1" fillId="0" borderId="13" xfId="56" applyBorder="1" applyAlignment="1" applyProtection="1">
      <alignment horizontal="left"/>
      <protection locked="0"/>
    </xf>
    <xf numFmtId="0" fontId="3" fillId="28" borderId="13" xfId="56" applyFont="1" applyFill="1" applyBorder="1" applyAlignment="1">
      <alignment horizontal="left" vertical="center"/>
    </xf>
    <xf numFmtId="0" fontId="3" fillId="28" borderId="21" xfId="56" applyFont="1" applyFill="1" applyBorder="1" applyAlignment="1">
      <alignment horizontal="left" vertical="center"/>
    </xf>
    <xf numFmtId="0" fontId="1" fillId="0" borderId="30" xfId="56" applyBorder="1" applyAlignment="1" applyProtection="1">
      <alignment horizontal="center"/>
      <protection locked="0"/>
    </xf>
    <xf numFmtId="0" fontId="0" fillId="0" borderId="24" xfId="0" applyNumberFormat="1" applyBorder="1" applyAlignment="1" applyProtection="1">
      <alignment wrapText="1"/>
      <protection locked="0"/>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1" fillId="0" borderId="28" xfId="0" applyFont="1" applyBorder="1" applyAlignment="1">
      <alignment horizontal="left" wrapText="1"/>
    </xf>
    <xf numFmtId="0" fontId="1" fillId="0" borderId="18" xfId="0" applyFont="1" applyBorder="1" applyAlignment="1">
      <alignment horizontal="left" wrapText="1"/>
    </xf>
    <xf numFmtId="0" fontId="1" fillId="0" borderId="26" xfId="0" applyFont="1" applyBorder="1" applyAlignment="1">
      <alignment horizontal="left" vertical="center" wrapText="1"/>
    </xf>
    <xf numFmtId="0" fontId="1" fillId="0" borderId="0"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18" xfId="0" applyFont="1" applyBorder="1" applyAlignment="1">
      <alignment horizontal="left" vertical="center" wrapText="1"/>
    </xf>
    <xf numFmtId="0" fontId="1" fillId="0" borderId="29" xfId="0" applyFont="1" applyBorder="1" applyAlignment="1">
      <alignment horizontal="left" vertical="center" wrapText="1"/>
    </xf>
    <xf numFmtId="0" fontId="43" fillId="0" borderId="0" xfId="56" applyFont="1" applyFill="1" applyAlignment="1">
      <alignment horizontal="center"/>
    </xf>
    <xf numFmtId="0" fontId="3" fillId="0" borderId="30" xfId="56" applyFont="1" applyFill="1" applyBorder="1" applyAlignment="1">
      <alignment horizontal="left" wrapText="1"/>
    </xf>
    <xf numFmtId="0" fontId="3" fillId="31" borderId="40" xfId="56" applyFont="1" applyFill="1" applyBorder="1" applyAlignment="1">
      <alignment horizontal="center" wrapText="1"/>
    </xf>
    <xf numFmtId="0" fontId="3" fillId="31" borderId="32" xfId="56" applyFont="1" applyFill="1" applyBorder="1" applyAlignment="1">
      <alignment horizontal="center" wrapText="1"/>
    </xf>
    <xf numFmtId="0" fontId="3" fillId="31" borderId="14" xfId="56" applyFont="1" applyFill="1" applyBorder="1" applyAlignment="1">
      <alignment horizontal="center"/>
    </xf>
    <xf numFmtId="0" fontId="3" fillId="31" borderId="15" xfId="56" applyFont="1" applyFill="1" applyBorder="1" applyAlignment="1">
      <alignment horizontal="center"/>
    </xf>
    <xf numFmtId="0" fontId="3" fillId="31" borderId="16" xfId="56" applyFont="1" applyFill="1" applyBorder="1" applyAlignment="1">
      <alignment horizontal="center"/>
    </xf>
    <xf numFmtId="0" fontId="3" fillId="0" borderId="40" xfId="56" applyFont="1" applyBorder="1" applyAlignment="1">
      <alignment horizontal="center" wrapText="1"/>
    </xf>
    <xf numFmtId="0" fontId="3" fillId="0" borderId="41" xfId="56" applyFont="1" applyBorder="1" applyAlignment="1">
      <alignment horizontal="center" wrapText="1"/>
    </xf>
    <xf numFmtId="0" fontId="3" fillId="0" borderId="32" xfId="56" applyFont="1" applyBorder="1" applyAlignment="1">
      <alignment horizontal="center" wrapText="1"/>
    </xf>
    <xf numFmtId="0" fontId="16" fillId="0" borderId="14" xfId="56" applyFont="1" applyBorder="1" applyAlignment="1">
      <alignment wrapText="1"/>
    </xf>
    <xf numFmtId="0" fontId="16" fillId="0" borderId="16" xfId="56" applyFont="1" applyBorder="1" applyAlignment="1">
      <alignment wrapText="1"/>
    </xf>
    <xf numFmtId="0" fontId="16" fillId="0" borderId="15" xfId="56" applyFont="1" applyBorder="1" applyAlignment="1">
      <alignment wrapText="1"/>
    </xf>
    <xf numFmtId="0" fontId="17" fillId="0" borderId="14" xfId="56" applyFont="1" applyBorder="1" applyAlignment="1">
      <alignment wrapText="1"/>
    </xf>
    <xf numFmtId="0" fontId="17" fillId="0" borderId="16" xfId="56" applyFont="1" applyBorder="1" applyAlignment="1">
      <alignment wrapText="1"/>
    </xf>
    <xf numFmtId="0" fontId="17" fillId="0" borderId="14" xfId="56" applyFont="1" applyBorder="1"/>
    <xf numFmtId="0" fontId="17" fillId="0" borderId="16" xfId="56" applyFont="1" applyBorder="1"/>
    <xf numFmtId="0" fontId="8" fillId="0" borderId="0" xfId="56" applyFont="1" applyAlignment="1">
      <alignment horizontal="center"/>
    </xf>
    <xf numFmtId="0" fontId="3" fillId="0" borderId="18" xfId="56" applyFont="1" applyBorder="1" applyAlignment="1">
      <alignment horizontal="center"/>
    </xf>
    <xf numFmtId="0" fontId="0" fillId="0" borderId="19" xfId="0" applyBorder="1" applyAlignment="1">
      <alignment horizontal="left" vertical="center" wrapText="1"/>
    </xf>
    <xf numFmtId="0" fontId="0" fillId="0" borderId="19" xfId="0" applyFont="1" applyBorder="1" applyAlignment="1">
      <alignment horizontal="left" vertical="center" wrapText="1"/>
    </xf>
  </cellXfs>
  <cellStyles count="98">
    <cellStyle name="20% - Accent1 2" xfId="1"/>
    <cellStyle name="20% - Accent1 2 2" xfId="2"/>
    <cellStyle name="20% - Accent2 2" xfId="3"/>
    <cellStyle name="20% - Accent2 2 2" xfId="4"/>
    <cellStyle name="20% - Accent3 2" xfId="5"/>
    <cellStyle name="20% - Accent3 2 2" xfId="6"/>
    <cellStyle name="20% - Accent4 2" xfId="7"/>
    <cellStyle name="20% - Accent4 2 2" xfId="8"/>
    <cellStyle name="20% - Accent5 2" xfId="9"/>
    <cellStyle name="20% - Accent5 2 2" xfId="10"/>
    <cellStyle name="20% - Accent6 2" xfId="11"/>
    <cellStyle name="20% - Accent6 2 2" xfId="12"/>
    <cellStyle name="40% - Accent1 2" xfId="13"/>
    <cellStyle name="40% - Accent1 2 2" xfId="14"/>
    <cellStyle name="40% - Accent2 2" xfId="15"/>
    <cellStyle name="40% - Accent2 2 2" xfId="16"/>
    <cellStyle name="40% - Accent3 2" xfId="17"/>
    <cellStyle name="40% - Accent3 2 2" xfId="18"/>
    <cellStyle name="40% - Accent4 2" xfId="19"/>
    <cellStyle name="40% - Accent4 2 2" xfId="20"/>
    <cellStyle name="40% - Accent5 2" xfId="21"/>
    <cellStyle name="40% - Accent5 2 2" xfId="22"/>
    <cellStyle name="40% - Accent6 2" xfId="23"/>
    <cellStyle name="40% - Accent6 2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xfId="40" builtinId="3"/>
    <cellStyle name="Comma 2" xfId="41"/>
    <cellStyle name="DateTime" xfId="42"/>
    <cellStyle name="DateTime 2" xfId="43"/>
    <cellStyle name="Euro" xfId="44"/>
    <cellStyle name="Explanatory Text 2" xfId="45"/>
    <cellStyle name="Good 2" xfId="46"/>
    <cellStyle name="Heading 1 2" xfId="47"/>
    <cellStyle name="Heading 2 2" xfId="48"/>
    <cellStyle name="Heading 3 2" xfId="49"/>
    <cellStyle name="Heading 4 2" xfId="50"/>
    <cellStyle name="Hyperlink" xfId="51" builtinId="8"/>
    <cellStyle name="Hyperlink 2" xfId="52"/>
    <cellStyle name="Input 2" xfId="53"/>
    <cellStyle name="Linked Cell 2" xfId="54"/>
    <cellStyle name="Neutral 2" xfId="55"/>
    <cellStyle name="Normal" xfId="0" builtinId="0"/>
    <cellStyle name="Normal 2" xfId="56"/>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244928</xdr:colOff>
      <xdr:row>1</xdr:row>
      <xdr:rowOff>27232</xdr:rowOff>
    </xdr:from>
    <xdr:to>
      <xdr:col>11</xdr:col>
      <xdr:colOff>510785</xdr:colOff>
      <xdr:row>22</xdr:row>
      <xdr:rowOff>97065</xdr:rowOff>
    </xdr:to>
    <xdr:grpSp>
      <xdr:nvGrpSpPr>
        <xdr:cNvPr id="40" name="Group 39"/>
        <xdr:cNvGrpSpPr/>
      </xdr:nvGrpSpPr>
      <xdr:grpSpPr>
        <a:xfrm>
          <a:off x="244928" y="217732"/>
          <a:ext cx="7001393" cy="4070333"/>
          <a:chOff x="244928" y="217732"/>
          <a:chExt cx="7001393" cy="4070333"/>
        </a:xfrm>
      </xdr:grpSpPr>
      <xdr:grpSp>
        <xdr:nvGrpSpPr>
          <xdr:cNvPr id="2" name="Legend"/>
          <xdr:cNvGrpSpPr/>
        </xdr:nvGrpSpPr>
        <xdr:grpSpPr>
          <a:xfrm>
            <a:off x="2136322" y="3502478"/>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8" name="Boundary Box"/>
          <xdr:cNvSpPr/>
        </xdr:nvSpPr>
        <xdr:spPr>
          <a:xfrm>
            <a:off x="3569607" y="304800"/>
            <a:ext cx="3676714"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Rare earth leaching: System Boundary</a:t>
            </a:r>
          </a:p>
        </xdr:txBody>
      </xdr:sp>
      <xdr:sp macro="" textlink="">
        <xdr:nvSpPr>
          <xdr:cNvPr id="9" name="Process"/>
          <xdr:cNvSpPr/>
        </xdr:nvSpPr>
        <xdr:spPr>
          <a:xfrm>
            <a:off x="4337050" y="1066800"/>
            <a:ext cx="2297366"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The leaching of rare earth concentrate</a:t>
            </a:r>
          </a:p>
        </xdr:txBody>
      </xdr:sp>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Rare earth chloride</a:t>
            </a:r>
            <a:r>
              <a:rPr lang="en-US" sz="1000" baseline="0">
                <a:solidFill>
                  <a:schemeClr val="tx1"/>
                </a:solidFill>
                <a:latin typeface="Arial" pitchFamily="34" charset="0"/>
                <a:cs typeface="Arial" pitchFamily="34" charset="0"/>
              </a:rPr>
              <a:t> concentrate</a:t>
            </a:r>
          </a:p>
        </xdr:txBody>
      </xdr: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2" name="Flowchart: Data 11"/>
          <xdr:cNvSpPr/>
        </xdr:nvSpPr>
        <xdr:spPr>
          <a:xfrm>
            <a:off x="244928" y="217732"/>
            <a:ext cx="1646464" cy="73152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rPr>
              <a:t>Rare earth ore concentrate</a:t>
            </a:r>
          </a:p>
        </xdr:txBody>
      </xdr:sp>
      <xdr:sp macro="" textlink="">
        <xdr:nvSpPr>
          <xdr:cNvPr id="13" name="Flowchart: Data 12"/>
          <xdr:cNvSpPr/>
        </xdr:nvSpPr>
        <xdr:spPr>
          <a:xfrm>
            <a:off x="1830158" y="790575"/>
            <a:ext cx="1646464" cy="73152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rPr>
              <a:t>Hydrochloric acid</a:t>
            </a:r>
          </a:p>
        </xdr:txBody>
      </xdr:sp>
      <xdr:sp macro="" textlink="">
        <xdr:nvSpPr>
          <xdr:cNvPr id="14" name="Flowchart: Data 13"/>
          <xdr:cNvSpPr/>
        </xdr:nvSpPr>
        <xdr:spPr>
          <a:xfrm>
            <a:off x="244928" y="1220561"/>
            <a:ext cx="1646464" cy="73152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rPr>
              <a:t>Sulfuric acid</a:t>
            </a:r>
          </a:p>
        </xdr:txBody>
      </xdr:sp>
      <xdr:sp macro="" textlink="">
        <xdr:nvSpPr>
          <xdr:cNvPr id="15" name="Flowchart: Data 14"/>
          <xdr:cNvSpPr/>
        </xdr:nvSpPr>
        <xdr:spPr>
          <a:xfrm>
            <a:off x="1830158" y="1711779"/>
            <a:ext cx="1646464" cy="73152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rPr>
              <a:t>Sodium hydroxide</a:t>
            </a:r>
          </a:p>
        </xdr:txBody>
      </xdr:sp>
      <xdr:sp macro="" textlink="">
        <xdr:nvSpPr>
          <xdr:cNvPr id="16" name="Flowchart: Data 15"/>
          <xdr:cNvSpPr/>
        </xdr:nvSpPr>
        <xdr:spPr>
          <a:xfrm>
            <a:off x="244928" y="2155371"/>
            <a:ext cx="1646464" cy="73152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rPr>
              <a:t>Sodium chloride</a:t>
            </a:r>
          </a:p>
        </xdr:txBody>
      </xdr:sp>
      <xdr:sp macro="" textlink="">
        <xdr:nvSpPr>
          <xdr:cNvPr id="17" name="Flowchart: Data 16"/>
          <xdr:cNvSpPr/>
        </xdr:nvSpPr>
        <xdr:spPr>
          <a:xfrm>
            <a:off x="1830158" y="2673803"/>
            <a:ext cx="1646464" cy="73152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ysClr val="windowText" lastClr="000000"/>
                </a:solidFill>
              </a:rPr>
              <a:t>Heat</a:t>
            </a:r>
          </a:p>
        </xdr:txBody>
      </xdr:sp>
      <xdr:sp macro="" textlink="">
        <xdr:nvSpPr>
          <xdr:cNvPr id="19" name="Rectangle 18"/>
          <xdr:cNvSpPr/>
        </xdr:nvSpPr>
        <xdr:spPr>
          <a:xfrm>
            <a:off x="3563709" y="217732"/>
            <a:ext cx="9144" cy="731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1" name="Straight Arrow Connector 20"/>
          <xdr:cNvCxnSpPr>
            <a:stCxn id="12" idx="5"/>
            <a:endCxn id="19" idx="1"/>
          </xdr:cNvCxnSpPr>
        </xdr:nvCxnSpPr>
        <xdr:spPr>
          <a:xfrm>
            <a:off x="1726746" y="583492"/>
            <a:ext cx="1836963"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24" name="Rectangle 23"/>
          <xdr:cNvSpPr/>
        </xdr:nvSpPr>
        <xdr:spPr>
          <a:xfrm>
            <a:off x="3563709" y="790575"/>
            <a:ext cx="9144" cy="731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 name="Rectangle 24"/>
          <xdr:cNvSpPr/>
        </xdr:nvSpPr>
        <xdr:spPr>
          <a:xfrm>
            <a:off x="3563709" y="1220561"/>
            <a:ext cx="9144" cy="731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Rectangle 25"/>
          <xdr:cNvSpPr/>
        </xdr:nvSpPr>
        <xdr:spPr>
          <a:xfrm>
            <a:off x="3563709" y="1711779"/>
            <a:ext cx="9144" cy="731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7" name="Rectangle 26"/>
          <xdr:cNvSpPr/>
        </xdr:nvSpPr>
        <xdr:spPr>
          <a:xfrm>
            <a:off x="3563709" y="2155371"/>
            <a:ext cx="9144" cy="731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8" name="Rectangle 27"/>
          <xdr:cNvSpPr/>
        </xdr:nvSpPr>
        <xdr:spPr>
          <a:xfrm>
            <a:off x="3563709" y="2673803"/>
            <a:ext cx="9144" cy="731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xdr:cNvCxnSpPr>
            <a:stCxn id="13" idx="5"/>
            <a:endCxn id="24" idx="1"/>
          </xdr:cNvCxnSpPr>
        </xdr:nvCxnSpPr>
        <xdr:spPr>
          <a:xfrm>
            <a:off x="3311976" y="1156335"/>
            <a:ext cx="251733"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a:stCxn id="14" idx="5"/>
            <a:endCxn id="25" idx="1"/>
          </xdr:cNvCxnSpPr>
        </xdr:nvCxnSpPr>
        <xdr:spPr>
          <a:xfrm>
            <a:off x="1726746" y="1586321"/>
            <a:ext cx="1836963"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a:stCxn id="15" idx="5"/>
            <a:endCxn id="26" idx="1"/>
          </xdr:cNvCxnSpPr>
        </xdr:nvCxnSpPr>
        <xdr:spPr>
          <a:xfrm>
            <a:off x="3311976" y="2077539"/>
            <a:ext cx="251733"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a:stCxn id="16" idx="5"/>
            <a:endCxn id="27" idx="1"/>
          </xdr:cNvCxnSpPr>
        </xdr:nvCxnSpPr>
        <xdr:spPr>
          <a:xfrm>
            <a:off x="1726746" y="2521131"/>
            <a:ext cx="1836963"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xdr:cNvCxnSpPr>
            <a:stCxn id="17" idx="5"/>
            <a:endCxn id="28" idx="1"/>
          </xdr:cNvCxnSpPr>
        </xdr:nvCxnSpPr>
        <xdr:spPr>
          <a:xfrm>
            <a:off x="3311976" y="3039563"/>
            <a:ext cx="251733"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ysClr val="windowText" lastClr="000000"/>
          </a:solidFill>
          <a:headEnd type="none" w="med" len="med"/>
          <a:tailEnd type="triangle" w="med" len="med"/>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valonraremetals.com/_resources/nechalacho/Resource_Update_August_2013.pdf" TargetMode="External"/><Relationship Id="rId1" Type="http://schemas.openxmlformats.org/officeDocument/2006/relationships/hyperlink" Target="http://www1.eere.energy.gov/manufacturing/tech_assistance/winter2009.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workbookViewId="0">
      <selection sqref="A1:N1"/>
    </sheetView>
  </sheetViews>
  <sheetFormatPr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16384" width="9.140625" style="3"/>
  </cols>
  <sheetData>
    <row r="1" spans="1:27" ht="20.25" x14ac:dyDescent="0.3">
      <c r="A1" s="247" t="s">
        <v>0</v>
      </c>
      <c r="B1" s="247"/>
      <c r="C1" s="247"/>
      <c r="D1" s="247"/>
      <c r="E1" s="247"/>
      <c r="F1" s="247"/>
      <c r="G1" s="247"/>
      <c r="H1" s="247"/>
      <c r="I1" s="247"/>
      <c r="J1" s="247"/>
      <c r="K1" s="247"/>
      <c r="L1" s="247"/>
      <c r="M1" s="247"/>
      <c r="N1" s="247"/>
      <c r="O1" s="1"/>
    </row>
    <row r="2" spans="1:27" ht="21" thickBot="1" x14ac:dyDescent="0.35">
      <c r="A2" s="247" t="s">
        <v>1</v>
      </c>
      <c r="B2" s="247"/>
      <c r="C2" s="247"/>
      <c r="D2" s="247"/>
      <c r="E2" s="247"/>
      <c r="F2" s="247"/>
      <c r="G2" s="247"/>
      <c r="H2" s="247"/>
      <c r="I2" s="247"/>
      <c r="J2" s="247"/>
      <c r="K2" s="247"/>
      <c r="L2" s="247"/>
      <c r="M2" s="247"/>
      <c r="N2" s="247"/>
      <c r="O2" s="1"/>
    </row>
    <row r="3" spans="1:27" ht="12.75" customHeight="1" thickBot="1" x14ac:dyDescent="0.25">
      <c r="B3" s="2"/>
      <c r="C3" s="4" t="s">
        <v>2</v>
      </c>
      <c r="D3" s="5" t="str">
        <f>'Data Summary'!D4</f>
        <v>Rare earth leaching</v>
      </c>
      <c r="E3" s="6"/>
      <c r="F3" s="6"/>
      <c r="G3" s="6"/>
      <c r="H3" s="6"/>
      <c r="I3" s="6"/>
      <c r="J3" s="6"/>
      <c r="K3" s="6"/>
      <c r="L3" s="6"/>
      <c r="M3" s="7"/>
      <c r="N3" s="2"/>
      <c r="O3" s="2"/>
    </row>
    <row r="4" spans="1:27" ht="42.75" customHeight="1" thickBot="1" x14ac:dyDescent="0.25">
      <c r="B4" s="2"/>
      <c r="C4" s="4" t="s">
        <v>3</v>
      </c>
      <c r="D4" s="248" t="str">
        <f>'Data Summary'!D6</f>
        <v>The leaching of rare earth concentrate</v>
      </c>
      <c r="E4" s="249"/>
      <c r="F4" s="249"/>
      <c r="G4" s="249"/>
      <c r="H4" s="249"/>
      <c r="I4" s="249"/>
      <c r="J4" s="249"/>
      <c r="K4" s="249"/>
      <c r="L4" s="249"/>
      <c r="M4" s="250"/>
      <c r="N4" s="2"/>
      <c r="O4" s="2"/>
    </row>
    <row r="5" spans="1:27" ht="39" customHeight="1" thickBot="1" x14ac:dyDescent="0.25">
      <c r="B5" s="2"/>
      <c r="C5" s="4" t="s">
        <v>4</v>
      </c>
      <c r="D5" s="251" t="s">
        <v>664</v>
      </c>
      <c r="E5" s="252"/>
      <c r="F5" s="252"/>
      <c r="G5" s="252"/>
      <c r="H5" s="252"/>
      <c r="I5" s="252"/>
      <c r="J5" s="252"/>
      <c r="K5" s="252"/>
      <c r="L5" s="252"/>
      <c r="M5" s="253"/>
      <c r="N5" s="2"/>
      <c r="O5" s="2"/>
    </row>
    <row r="6" spans="1:27" ht="56.25" customHeight="1" thickBot="1" x14ac:dyDescent="0.25">
      <c r="B6" s="2"/>
      <c r="C6" s="8" t="s">
        <v>5</v>
      </c>
      <c r="D6" s="251" t="s">
        <v>6</v>
      </c>
      <c r="E6" s="252"/>
      <c r="F6" s="252"/>
      <c r="G6" s="252"/>
      <c r="H6" s="252"/>
      <c r="I6" s="252"/>
      <c r="J6" s="252"/>
      <c r="K6" s="252"/>
      <c r="L6" s="252"/>
      <c r="M6" s="253"/>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41" t="s">
        <v>10</v>
      </c>
      <c r="C9" s="10" t="s">
        <v>11</v>
      </c>
      <c r="D9" s="243" t="s">
        <v>12</v>
      </c>
      <c r="E9" s="243"/>
      <c r="F9" s="243"/>
      <c r="G9" s="243"/>
      <c r="H9" s="243"/>
      <c r="I9" s="243"/>
      <c r="J9" s="243"/>
      <c r="K9" s="243"/>
      <c r="L9" s="243"/>
      <c r="M9" s="244"/>
      <c r="N9" s="2"/>
      <c r="O9" s="2"/>
      <c r="P9" s="2"/>
      <c r="Q9" s="2"/>
      <c r="R9" s="2"/>
      <c r="S9" s="2"/>
      <c r="T9" s="2"/>
      <c r="U9" s="2"/>
      <c r="V9" s="2"/>
      <c r="W9" s="2"/>
      <c r="X9" s="2"/>
      <c r="Y9" s="2"/>
      <c r="Z9" s="2"/>
      <c r="AA9" s="2"/>
    </row>
    <row r="10" spans="1:27" s="11" customFormat="1" ht="15" customHeight="1" x14ac:dyDescent="0.2">
      <c r="A10" s="2"/>
      <c r="B10" s="242"/>
      <c r="C10" s="12" t="s">
        <v>13</v>
      </c>
      <c r="D10" s="245" t="s">
        <v>14</v>
      </c>
      <c r="E10" s="245"/>
      <c r="F10" s="245"/>
      <c r="G10" s="245"/>
      <c r="H10" s="245"/>
      <c r="I10" s="245"/>
      <c r="J10" s="245"/>
      <c r="K10" s="245"/>
      <c r="L10" s="245"/>
      <c r="M10" s="246"/>
      <c r="N10" s="2"/>
      <c r="O10" s="2"/>
      <c r="P10" s="2"/>
      <c r="Q10" s="2"/>
      <c r="R10" s="2"/>
      <c r="S10" s="2"/>
      <c r="T10" s="2"/>
      <c r="U10" s="2"/>
      <c r="V10" s="2"/>
      <c r="W10" s="2"/>
      <c r="X10" s="2"/>
      <c r="Y10" s="2"/>
      <c r="Z10" s="2"/>
      <c r="AA10" s="2"/>
    </row>
    <row r="11" spans="1:27" s="11" customFormat="1" ht="15" customHeight="1" x14ac:dyDescent="0.2">
      <c r="A11" s="2"/>
      <c r="B11" s="242"/>
      <c r="C11" s="12" t="s">
        <v>15</v>
      </c>
      <c r="D11" s="245" t="s">
        <v>16</v>
      </c>
      <c r="E11" s="245"/>
      <c r="F11" s="245"/>
      <c r="G11" s="245"/>
      <c r="H11" s="245"/>
      <c r="I11" s="245"/>
      <c r="J11" s="245"/>
      <c r="K11" s="245"/>
      <c r="L11" s="245"/>
      <c r="M11" s="246"/>
      <c r="N11" s="2"/>
      <c r="O11" s="2"/>
      <c r="P11" s="2"/>
      <c r="Q11" s="2"/>
      <c r="R11" s="2"/>
      <c r="S11" s="2"/>
      <c r="T11" s="2"/>
      <c r="U11" s="2"/>
      <c r="V11" s="2"/>
      <c r="W11" s="2"/>
      <c r="X11" s="2"/>
      <c r="Y11" s="2"/>
      <c r="Z11" s="2"/>
      <c r="AA11" s="2"/>
    </row>
    <row r="12" spans="1:27" s="11" customFormat="1" ht="15" customHeight="1" x14ac:dyDescent="0.2">
      <c r="A12" s="2"/>
      <c r="B12" s="242"/>
      <c r="C12" s="12" t="s">
        <v>17</v>
      </c>
      <c r="D12" s="245" t="s">
        <v>18</v>
      </c>
      <c r="E12" s="245"/>
      <c r="F12" s="245"/>
      <c r="G12" s="245"/>
      <c r="H12" s="245"/>
      <c r="I12" s="245"/>
      <c r="J12" s="245"/>
      <c r="K12" s="245"/>
      <c r="L12" s="245"/>
      <c r="M12" s="246"/>
      <c r="N12" s="2"/>
      <c r="O12" s="2"/>
      <c r="P12" s="2"/>
      <c r="Q12" s="2"/>
      <c r="R12" s="2"/>
      <c r="S12" s="2"/>
      <c r="T12" s="2"/>
      <c r="U12" s="2"/>
      <c r="V12" s="2"/>
      <c r="W12" s="2"/>
      <c r="X12" s="2"/>
      <c r="Y12" s="2"/>
      <c r="Z12" s="2"/>
      <c r="AA12" s="2"/>
    </row>
    <row r="13" spans="1:27" ht="15" customHeight="1" x14ac:dyDescent="0.2">
      <c r="B13" s="235" t="s">
        <v>19</v>
      </c>
      <c r="C13" s="13" t="s">
        <v>369</v>
      </c>
      <c r="D13" s="237" t="s">
        <v>370</v>
      </c>
      <c r="E13" s="237"/>
      <c r="F13" s="237"/>
      <c r="G13" s="237"/>
      <c r="H13" s="237"/>
      <c r="I13" s="237"/>
      <c r="J13" s="237"/>
      <c r="K13" s="237"/>
      <c r="L13" s="237"/>
      <c r="M13" s="238"/>
      <c r="N13" s="2"/>
      <c r="O13" s="2"/>
    </row>
    <row r="14" spans="1:27" ht="15" customHeight="1" x14ac:dyDescent="0.2">
      <c r="B14" s="235"/>
      <c r="C14" s="13" t="s">
        <v>20</v>
      </c>
      <c r="D14" s="237" t="s">
        <v>21</v>
      </c>
      <c r="E14" s="237"/>
      <c r="F14" s="237"/>
      <c r="G14" s="237"/>
      <c r="H14" s="237"/>
      <c r="I14" s="237"/>
      <c r="J14" s="237"/>
      <c r="K14" s="237"/>
      <c r="L14" s="237"/>
      <c r="M14" s="238"/>
      <c r="N14" s="2"/>
      <c r="O14" s="2"/>
    </row>
    <row r="15" spans="1:27" ht="15" customHeight="1" x14ac:dyDescent="0.2">
      <c r="B15" s="235"/>
      <c r="C15" s="14" t="s">
        <v>22</v>
      </c>
      <c r="D15" s="237" t="s">
        <v>22</v>
      </c>
      <c r="E15" s="237"/>
      <c r="F15" s="237"/>
      <c r="G15" s="237"/>
      <c r="H15" s="237"/>
      <c r="I15" s="237"/>
      <c r="J15" s="237"/>
      <c r="K15" s="237"/>
      <c r="L15" s="237"/>
      <c r="M15" s="238"/>
      <c r="N15" s="2"/>
      <c r="O15" s="2"/>
    </row>
    <row r="16" spans="1:27" ht="15" customHeight="1" thickBot="1" x14ac:dyDescent="0.25">
      <c r="B16" s="236"/>
      <c r="C16" s="15"/>
      <c r="D16" s="239"/>
      <c r="E16" s="239"/>
      <c r="F16" s="239"/>
      <c r="G16" s="239"/>
      <c r="H16" s="239"/>
      <c r="I16" s="239"/>
      <c r="J16" s="239"/>
      <c r="K16" s="239"/>
      <c r="L16" s="239"/>
      <c r="M16" s="240"/>
      <c r="N16" s="2"/>
      <c r="O16" s="2"/>
    </row>
    <row r="17" spans="2:16" x14ac:dyDescent="0.2">
      <c r="B17" s="9"/>
      <c r="C17" s="9"/>
      <c r="D17" s="9"/>
      <c r="E17" s="9"/>
      <c r="F17" s="9"/>
      <c r="G17" s="9"/>
      <c r="H17" s="9"/>
      <c r="I17" s="9"/>
      <c r="J17" s="9"/>
      <c r="K17" s="9"/>
      <c r="L17" s="9"/>
      <c r="M17" s="9"/>
      <c r="N17" s="2"/>
      <c r="O17" s="2"/>
    </row>
    <row r="18" spans="2:16" x14ac:dyDescent="0.2">
      <c r="B18" s="9" t="s">
        <v>23</v>
      </c>
      <c r="C18" s="9"/>
      <c r="D18" s="9"/>
      <c r="E18" s="9"/>
      <c r="F18" s="9"/>
      <c r="G18" s="9"/>
      <c r="H18" s="9"/>
      <c r="I18" s="9"/>
      <c r="J18" s="9"/>
      <c r="K18" s="9"/>
      <c r="L18" s="9"/>
      <c r="M18" s="9"/>
      <c r="N18" s="2"/>
      <c r="O18" s="2"/>
    </row>
    <row r="19" spans="2:16" x14ac:dyDescent="0.2">
      <c r="B19" s="9"/>
      <c r="C19" s="16">
        <v>41757</v>
      </c>
      <c r="D19" s="9"/>
      <c r="E19" s="9"/>
      <c r="F19" s="9"/>
      <c r="G19" s="9"/>
      <c r="H19" s="9"/>
      <c r="I19" s="9"/>
      <c r="J19" s="9"/>
      <c r="K19" s="9"/>
      <c r="L19" s="9"/>
      <c r="M19" s="9"/>
      <c r="N19" s="2"/>
      <c r="O19" s="2"/>
    </row>
    <row r="20" spans="2:16" x14ac:dyDescent="0.2">
      <c r="B20" s="9" t="s">
        <v>24</v>
      </c>
      <c r="C20" s="9"/>
      <c r="D20" s="9"/>
      <c r="E20" s="9"/>
      <c r="F20" s="9"/>
      <c r="G20" s="9"/>
      <c r="H20" s="9"/>
      <c r="I20" s="9"/>
      <c r="J20" s="9"/>
      <c r="K20" s="9"/>
      <c r="L20" s="9"/>
      <c r="M20" s="9"/>
      <c r="N20" s="2"/>
      <c r="O20" s="2"/>
    </row>
    <row r="21" spans="2:16" x14ac:dyDescent="0.2">
      <c r="B21" s="9"/>
      <c r="C21" s="17" t="s">
        <v>25</v>
      </c>
      <c r="D21" s="9"/>
      <c r="E21" s="9"/>
      <c r="F21" s="9"/>
      <c r="G21" s="9"/>
      <c r="H21" s="9"/>
      <c r="I21" s="9"/>
      <c r="J21" s="9"/>
      <c r="K21" s="9"/>
      <c r="L21" s="9"/>
      <c r="M21" s="9"/>
      <c r="N21" s="2"/>
      <c r="O21" s="2"/>
    </row>
    <row r="22" spans="2:16" x14ac:dyDescent="0.2">
      <c r="B22" s="9" t="s">
        <v>26</v>
      </c>
      <c r="C22" s="17"/>
      <c r="D22" s="9"/>
      <c r="E22" s="9"/>
      <c r="F22" s="9"/>
      <c r="G22" s="9"/>
      <c r="H22" s="9"/>
      <c r="I22" s="9"/>
      <c r="J22" s="9"/>
      <c r="K22" s="9"/>
      <c r="L22" s="9"/>
      <c r="M22" s="9"/>
      <c r="N22" s="2"/>
      <c r="O22" s="2"/>
    </row>
    <row r="23" spans="2:16" x14ac:dyDescent="0.2">
      <c r="B23" s="9"/>
      <c r="C23" s="17" t="s">
        <v>27</v>
      </c>
      <c r="D23" s="9"/>
      <c r="E23" s="9"/>
      <c r="F23" s="9"/>
      <c r="G23" s="9"/>
      <c r="H23" s="9"/>
      <c r="I23" s="9"/>
      <c r="J23" s="9"/>
      <c r="K23" s="9"/>
      <c r="L23" s="9"/>
      <c r="M23" s="9"/>
      <c r="N23" s="2"/>
      <c r="O23" s="2"/>
    </row>
    <row r="24" spans="2:16" x14ac:dyDescent="0.2">
      <c r="B24" s="9" t="s">
        <v>28</v>
      </c>
      <c r="C24" s="9"/>
      <c r="D24" s="9"/>
      <c r="E24" s="9"/>
      <c r="F24" s="9"/>
      <c r="G24" s="9"/>
      <c r="H24" s="9"/>
      <c r="I24" s="9"/>
      <c r="J24" s="9"/>
      <c r="K24" s="9"/>
      <c r="L24" s="9"/>
      <c r="M24" s="9"/>
      <c r="N24" s="2"/>
      <c r="O24" s="2"/>
    </row>
    <row r="25" spans="2:16" ht="38.25" customHeight="1" x14ac:dyDescent="0.2">
      <c r="B25" s="9"/>
      <c r="C25" s="233" t="str">
        <f>"This document should be cited as: NETL (2014). NETL Life Cycle Inventory Data – Unit Process: "&amp;D3&amp;" - Version 01. U.S. Department of Energy, National Energy Technology Laboratory. Retrieved [DATE] from http://www.netl.doe.gov/LCA"</f>
        <v>This document should be cited as: NETL (2014). NETL Life Cycle Inventory Data – Unit Process: Rare earth leaching - Version 01. U.S. Department of Energy, National Energy Technology Laboratory. Retrieved [DATE] from http://www.netl.doe.gov/LCA</v>
      </c>
      <c r="D25" s="233"/>
      <c r="E25" s="233"/>
      <c r="F25" s="233"/>
      <c r="G25" s="233"/>
      <c r="H25" s="233"/>
      <c r="I25" s="233"/>
      <c r="J25" s="233"/>
      <c r="K25" s="233"/>
      <c r="L25" s="233"/>
      <c r="M25" s="233"/>
      <c r="N25" s="2"/>
      <c r="O25" s="2"/>
    </row>
    <row r="26" spans="2:16" x14ac:dyDescent="0.2">
      <c r="B26" s="9" t="s">
        <v>29</v>
      </c>
      <c r="C26" s="9"/>
      <c r="D26" s="9"/>
      <c r="E26" s="9"/>
      <c r="F26" s="9"/>
      <c r="G26" s="17"/>
      <c r="H26" s="17"/>
      <c r="I26" s="17"/>
      <c r="J26" s="17"/>
      <c r="K26" s="17"/>
      <c r="L26" s="17"/>
      <c r="M26" s="17"/>
      <c r="N26" s="2"/>
      <c r="O26" s="2"/>
    </row>
    <row r="27" spans="2:16" x14ac:dyDescent="0.2">
      <c r="B27" s="17"/>
      <c r="C27" s="17" t="s">
        <v>30</v>
      </c>
      <c r="D27" s="17"/>
      <c r="E27" s="18" t="s">
        <v>31</v>
      </c>
      <c r="F27" s="19"/>
      <c r="G27" s="17" t="s">
        <v>32</v>
      </c>
      <c r="H27" s="17"/>
      <c r="I27" s="17"/>
      <c r="J27" s="17"/>
      <c r="K27" s="17"/>
      <c r="L27" s="17"/>
      <c r="M27" s="17"/>
      <c r="N27" s="2"/>
      <c r="O27" s="2"/>
      <c r="P27" s="17"/>
    </row>
    <row r="28" spans="2:16" x14ac:dyDescent="0.2">
      <c r="B28" s="17"/>
      <c r="C28" s="17" t="s">
        <v>33</v>
      </c>
      <c r="D28" s="17"/>
      <c r="E28" s="17"/>
      <c r="F28" s="17"/>
      <c r="G28" s="17"/>
      <c r="H28" s="17"/>
      <c r="I28" s="17"/>
      <c r="J28" s="17"/>
      <c r="K28" s="17"/>
      <c r="L28" s="17"/>
      <c r="M28" s="17"/>
      <c r="N28" s="2"/>
      <c r="O28" s="2"/>
      <c r="P28" s="17"/>
    </row>
    <row r="29" spans="2:16" x14ac:dyDescent="0.2">
      <c r="B29" s="17"/>
      <c r="C29" s="17" t="s">
        <v>34</v>
      </c>
      <c r="D29" s="17"/>
      <c r="E29" s="17"/>
      <c r="F29" s="17"/>
      <c r="G29" s="17"/>
      <c r="H29" s="17"/>
      <c r="I29" s="17"/>
      <c r="J29" s="17"/>
      <c r="K29" s="17"/>
      <c r="L29" s="17"/>
      <c r="M29" s="17"/>
      <c r="N29" s="17"/>
      <c r="O29" s="17"/>
      <c r="P29" s="17"/>
    </row>
    <row r="30" spans="2:16" x14ac:dyDescent="0.2">
      <c r="B30" s="17"/>
      <c r="C30" s="234" t="s">
        <v>35</v>
      </c>
      <c r="D30" s="234"/>
      <c r="E30" s="234"/>
      <c r="F30" s="234"/>
      <c r="G30" s="234"/>
      <c r="H30" s="234"/>
      <c r="I30" s="234"/>
      <c r="J30" s="234"/>
      <c r="K30" s="234"/>
      <c r="L30" s="234"/>
      <c r="M30" s="234"/>
      <c r="N30" s="17"/>
      <c r="O30" s="17"/>
      <c r="P30" s="17"/>
    </row>
    <row r="31" spans="2:16" x14ac:dyDescent="0.2">
      <c r="B31" s="17"/>
      <c r="C31" s="17"/>
      <c r="D31" s="17"/>
      <c r="E31" s="17"/>
      <c r="F31" s="17"/>
      <c r="G31" s="17"/>
      <c r="H31" s="17"/>
      <c r="I31" s="17"/>
      <c r="J31" s="17"/>
      <c r="K31" s="17"/>
      <c r="L31" s="17"/>
      <c r="M31" s="17"/>
      <c r="N31" s="17"/>
      <c r="O31" s="17"/>
    </row>
    <row r="32" spans="2:16" x14ac:dyDescent="0.2">
      <c r="B32" s="9" t="s">
        <v>36</v>
      </c>
      <c r="C32" s="17"/>
      <c r="D32" s="17"/>
      <c r="E32" s="17"/>
      <c r="F32" s="17"/>
      <c r="G32" s="17"/>
      <c r="H32" s="17"/>
      <c r="I32" s="17"/>
      <c r="J32" s="17"/>
      <c r="K32" s="17"/>
      <c r="L32" s="17"/>
      <c r="M32" s="17"/>
      <c r="N32" s="17"/>
      <c r="O32" s="17"/>
    </row>
    <row r="33" spans="2:15" x14ac:dyDescent="0.2">
      <c r="B33" s="17"/>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9" t="s">
        <v>37</v>
      </c>
      <c r="C48" s="17"/>
      <c r="D48" s="17"/>
      <c r="E48" s="17"/>
      <c r="F48" s="17"/>
      <c r="G48" s="17"/>
      <c r="H48" s="17"/>
      <c r="I48" s="17"/>
      <c r="J48" s="17"/>
      <c r="K48" s="17"/>
      <c r="L48" s="17"/>
      <c r="M48" s="17"/>
      <c r="N48" s="17"/>
      <c r="O48" s="17"/>
    </row>
    <row r="49" spans="2:15" x14ac:dyDescent="0.2">
      <c r="B49" s="17"/>
      <c r="C49" s="20" t="s">
        <v>38</v>
      </c>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sheetData>
  <mergeCells count="17">
    <mergeCell ref="A1:N1"/>
    <mergeCell ref="A2:N2"/>
    <mergeCell ref="D4:M4"/>
    <mergeCell ref="D5:M5"/>
    <mergeCell ref="D6:M6"/>
    <mergeCell ref="B9:B12"/>
    <mergeCell ref="D9:M9"/>
    <mergeCell ref="D10:M10"/>
    <mergeCell ref="D11:M11"/>
    <mergeCell ref="D12:M12"/>
    <mergeCell ref="C25:M25"/>
    <mergeCell ref="C30:M30"/>
    <mergeCell ref="B13:B16"/>
    <mergeCell ref="D13:M13"/>
    <mergeCell ref="D14:M14"/>
    <mergeCell ref="D15:M15"/>
    <mergeCell ref="D16:M16"/>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206"/>
  <sheetViews>
    <sheetView tabSelected="1" zoomScale="85" zoomScaleNormal="85" workbookViewId="0">
      <selection activeCell="B1" sqref="B1:Q1"/>
    </sheetView>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2.5703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247" t="s">
        <v>0</v>
      </c>
      <c r="C1" s="247"/>
      <c r="D1" s="247"/>
      <c r="E1" s="247"/>
      <c r="F1" s="247"/>
      <c r="G1" s="247"/>
      <c r="H1" s="247"/>
      <c r="I1" s="247"/>
      <c r="J1" s="247"/>
      <c r="K1" s="247"/>
      <c r="L1" s="247"/>
      <c r="M1" s="247"/>
      <c r="N1" s="247"/>
      <c r="O1" s="247"/>
      <c r="P1" s="247"/>
      <c r="Q1" s="247"/>
      <c r="R1" s="2"/>
      <c r="S1" s="2"/>
      <c r="T1" s="2"/>
      <c r="U1" s="2"/>
      <c r="V1" s="2"/>
      <c r="W1" s="2"/>
      <c r="X1" s="2"/>
      <c r="Y1" s="2"/>
    </row>
    <row r="2" spans="1:25" ht="20.25" x14ac:dyDescent="0.3">
      <c r="A2" s="2"/>
      <c r="B2" s="247" t="s">
        <v>39</v>
      </c>
      <c r="C2" s="247"/>
      <c r="D2" s="247"/>
      <c r="E2" s="247"/>
      <c r="F2" s="247"/>
      <c r="G2" s="247"/>
      <c r="H2" s="247"/>
      <c r="I2" s="247"/>
      <c r="J2" s="247"/>
      <c r="K2" s="247"/>
      <c r="L2" s="247"/>
      <c r="M2" s="247"/>
      <c r="N2" s="247"/>
      <c r="O2" s="247"/>
      <c r="P2" s="247"/>
      <c r="Q2" s="247"/>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268" t="s">
        <v>40</v>
      </c>
      <c r="C4" s="268"/>
      <c r="D4" s="21" t="s">
        <v>225</v>
      </c>
      <c r="E4" s="22"/>
      <c r="F4" s="2"/>
      <c r="G4" s="2"/>
      <c r="H4" s="2"/>
      <c r="I4" s="2"/>
      <c r="J4" s="2"/>
      <c r="K4" s="2"/>
      <c r="L4" s="2"/>
      <c r="M4" s="2"/>
      <c r="N4" s="2"/>
      <c r="O4" s="2"/>
      <c r="P4" s="2"/>
      <c r="Q4" s="2"/>
      <c r="R4" s="2"/>
      <c r="S4" s="2"/>
      <c r="T4" s="2"/>
      <c r="U4" s="2"/>
      <c r="V4" s="2"/>
      <c r="W4" s="2"/>
      <c r="X4" s="2"/>
      <c r="Y4" s="2"/>
    </row>
    <row r="5" spans="1:25" ht="15.75" thickBot="1" x14ac:dyDescent="0.3">
      <c r="A5" s="2"/>
      <c r="B5" s="268" t="s">
        <v>41</v>
      </c>
      <c r="C5" s="268"/>
      <c r="D5" s="23">
        <v>1</v>
      </c>
      <c r="E5" s="24" t="s">
        <v>42</v>
      </c>
      <c r="F5" s="25" t="s">
        <v>43</v>
      </c>
      <c r="G5" s="273" t="s">
        <v>501</v>
      </c>
      <c r="H5" s="273"/>
      <c r="I5" s="273"/>
      <c r="J5" s="273"/>
      <c r="K5" s="26"/>
      <c r="L5" s="26"/>
      <c r="M5" s="27" t="s">
        <v>17</v>
      </c>
      <c r="N5" s="28" t="str">
        <f>DQI!I8</f>
        <v>2,2,3,0,1</v>
      </c>
      <c r="O5" s="29"/>
      <c r="P5" s="17" t="s">
        <v>44</v>
      </c>
      <c r="Q5" s="2"/>
      <c r="R5" s="2"/>
      <c r="S5" s="2"/>
      <c r="T5" s="2"/>
      <c r="U5" s="2"/>
      <c r="V5" s="2"/>
      <c r="W5" s="2"/>
      <c r="X5" s="2"/>
      <c r="Y5" s="2"/>
    </row>
    <row r="6" spans="1:25" ht="27.75" customHeight="1" x14ac:dyDescent="0.25">
      <c r="A6" s="2"/>
      <c r="B6" s="277" t="s">
        <v>45</v>
      </c>
      <c r="C6" s="278"/>
      <c r="D6" s="279" t="s">
        <v>361</v>
      </c>
      <c r="E6" s="280"/>
      <c r="F6" s="280"/>
      <c r="G6" s="280"/>
      <c r="H6" s="280"/>
      <c r="I6" s="280"/>
      <c r="J6" s="280"/>
      <c r="K6" s="280"/>
      <c r="L6" s="280"/>
      <c r="M6" s="280"/>
      <c r="N6" s="280"/>
      <c r="O6" s="281"/>
      <c r="P6" s="30"/>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1"/>
      <c r="B8" s="261" t="s">
        <v>46</v>
      </c>
      <c r="C8" s="262"/>
      <c r="D8" s="262"/>
      <c r="E8" s="262"/>
      <c r="F8" s="262"/>
      <c r="G8" s="262"/>
      <c r="H8" s="262"/>
      <c r="I8" s="262"/>
      <c r="J8" s="262"/>
      <c r="K8" s="262"/>
      <c r="L8" s="262"/>
      <c r="M8" s="262"/>
      <c r="N8" s="262"/>
      <c r="O8" s="262"/>
      <c r="P8" s="263"/>
      <c r="Q8" s="31"/>
      <c r="R8" s="31"/>
      <c r="S8" s="31"/>
      <c r="T8" s="31"/>
      <c r="U8" s="31"/>
      <c r="V8" s="31"/>
      <c r="W8" s="31"/>
      <c r="X8" s="31"/>
      <c r="Y8" s="31"/>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268" t="s">
        <v>47</v>
      </c>
      <c r="C10" s="268"/>
      <c r="D10" s="282" t="s">
        <v>276</v>
      </c>
      <c r="E10" s="267"/>
      <c r="F10" s="2"/>
      <c r="G10" s="32" t="s">
        <v>48</v>
      </c>
      <c r="H10" s="33"/>
      <c r="I10" s="33"/>
      <c r="J10" s="33"/>
      <c r="K10" s="33"/>
      <c r="L10" s="33"/>
      <c r="M10" s="33"/>
      <c r="N10" s="33"/>
      <c r="O10" s="34"/>
      <c r="P10" s="2"/>
      <c r="Q10" s="2"/>
      <c r="R10" s="2"/>
      <c r="S10" s="2"/>
      <c r="T10" s="2"/>
      <c r="U10" s="2"/>
      <c r="V10" s="2"/>
      <c r="W10" s="2"/>
      <c r="X10" s="2"/>
      <c r="Y10" s="2"/>
    </row>
    <row r="11" spans="1:25" x14ac:dyDescent="0.25">
      <c r="A11" s="2"/>
      <c r="B11" s="265" t="s">
        <v>49</v>
      </c>
      <c r="C11" s="266"/>
      <c r="D11" s="254" t="s">
        <v>276</v>
      </c>
      <c r="E11" s="267"/>
      <c r="F11" s="2"/>
      <c r="G11" s="35" t="str">
        <f>CONCATENATE("Reference Flow: ",D5," ",E5," of ",G5)</f>
        <v>Reference Flow: 1 kg of rare earth chloride concentrate</v>
      </c>
      <c r="H11" s="36"/>
      <c r="I11" s="36"/>
      <c r="J11" s="36"/>
      <c r="K11" s="36"/>
      <c r="L11" s="36"/>
      <c r="M11" s="36"/>
      <c r="N11" s="36"/>
      <c r="O11" s="37"/>
      <c r="P11" s="2"/>
      <c r="Q11" s="2"/>
      <c r="R11" s="2"/>
      <c r="S11" s="2"/>
      <c r="T11" s="2"/>
      <c r="U11" s="2"/>
      <c r="V11" s="2"/>
      <c r="W11" s="2"/>
      <c r="X11" s="2"/>
      <c r="Y11" s="2"/>
    </row>
    <row r="12" spans="1:25" x14ac:dyDescent="0.25">
      <c r="A12" s="2"/>
      <c r="B12" s="268" t="s">
        <v>50</v>
      </c>
      <c r="C12" s="268"/>
      <c r="D12" s="269" t="s">
        <v>276</v>
      </c>
      <c r="E12" s="269"/>
      <c r="F12" s="2"/>
      <c r="G12" s="35"/>
      <c r="H12" s="36"/>
      <c r="I12" s="36"/>
      <c r="J12" s="36"/>
      <c r="K12" s="36"/>
      <c r="L12" s="36"/>
      <c r="M12" s="36"/>
      <c r="N12" s="36"/>
      <c r="O12" s="37"/>
      <c r="P12" s="2"/>
      <c r="Q12" s="2"/>
      <c r="R12" s="2"/>
      <c r="S12" s="2"/>
      <c r="T12" s="2"/>
      <c r="U12" s="2"/>
      <c r="V12" s="2"/>
      <c r="W12" s="2"/>
      <c r="X12" s="2"/>
      <c r="Y12" s="2"/>
    </row>
    <row r="13" spans="1:25" ht="12.75" customHeight="1" x14ac:dyDescent="0.25">
      <c r="A13" s="2"/>
      <c r="B13" s="268" t="s">
        <v>51</v>
      </c>
      <c r="C13" s="268"/>
      <c r="D13" s="269" t="s">
        <v>92</v>
      </c>
      <c r="E13" s="269"/>
      <c r="F13" s="2"/>
      <c r="G13" s="270" t="s">
        <v>642</v>
      </c>
      <c r="H13" s="271"/>
      <c r="I13" s="271"/>
      <c r="J13" s="271"/>
      <c r="K13" s="271"/>
      <c r="L13" s="271"/>
      <c r="M13" s="271"/>
      <c r="N13" s="271"/>
      <c r="O13" s="272"/>
      <c r="P13" s="2"/>
      <c r="Q13" s="2"/>
      <c r="R13" s="2"/>
      <c r="S13" s="2"/>
      <c r="T13" s="2"/>
      <c r="U13" s="2"/>
      <c r="V13" s="2"/>
      <c r="W13" s="2"/>
      <c r="X13" s="2"/>
      <c r="Y13" s="2"/>
    </row>
    <row r="14" spans="1:25" x14ac:dyDescent="0.25">
      <c r="A14" s="2"/>
      <c r="B14" s="268" t="s">
        <v>52</v>
      </c>
      <c r="C14" s="268"/>
      <c r="D14" s="269" t="s">
        <v>98</v>
      </c>
      <c r="E14" s="269"/>
      <c r="F14" s="2"/>
      <c r="G14" s="270"/>
      <c r="H14" s="271"/>
      <c r="I14" s="271"/>
      <c r="J14" s="271"/>
      <c r="K14" s="271"/>
      <c r="L14" s="271"/>
      <c r="M14" s="271"/>
      <c r="N14" s="271"/>
      <c r="O14" s="272"/>
      <c r="P14" s="2"/>
      <c r="Q14" s="2"/>
      <c r="R14" s="2"/>
      <c r="S14" s="2"/>
      <c r="T14" s="2"/>
      <c r="U14" s="2"/>
      <c r="V14" s="2"/>
      <c r="W14" s="2"/>
      <c r="X14" s="2"/>
      <c r="Y14" s="2"/>
    </row>
    <row r="15" spans="1:25" x14ac:dyDescent="0.25">
      <c r="A15" s="2"/>
      <c r="B15" s="268" t="s">
        <v>53</v>
      </c>
      <c r="C15" s="268"/>
      <c r="D15" s="269" t="s">
        <v>277</v>
      </c>
      <c r="E15" s="269"/>
      <c r="F15" s="2"/>
      <c r="G15" s="270"/>
      <c r="H15" s="271"/>
      <c r="I15" s="271"/>
      <c r="J15" s="271"/>
      <c r="K15" s="271"/>
      <c r="L15" s="271"/>
      <c r="M15" s="271"/>
      <c r="N15" s="271"/>
      <c r="O15" s="272"/>
      <c r="P15" s="2"/>
      <c r="Q15" s="2"/>
      <c r="R15" s="2"/>
      <c r="S15" s="2"/>
      <c r="T15" s="2"/>
      <c r="U15" s="2"/>
      <c r="V15" s="2"/>
      <c r="W15" s="2"/>
      <c r="X15" s="2"/>
      <c r="Y15" s="2"/>
    </row>
    <row r="16" spans="1:25" x14ac:dyDescent="0.25">
      <c r="A16" s="2"/>
      <c r="B16" s="268" t="s">
        <v>54</v>
      </c>
      <c r="C16" s="268"/>
      <c r="D16" s="269" t="s">
        <v>99</v>
      </c>
      <c r="E16" s="269"/>
      <c r="F16" s="2"/>
      <c r="G16" s="270"/>
      <c r="H16" s="271"/>
      <c r="I16" s="271"/>
      <c r="J16" s="271"/>
      <c r="K16" s="271"/>
      <c r="L16" s="271"/>
      <c r="M16" s="271"/>
      <c r="N16" s="271"/>
      <c r="O16" s="272"/>
      <c r="P16" s="2"/>
      <c r="Q16" s="2"/>
      <c r="R16" s="2"/>
      <c r="S16" s="2"/>
      <c r="T16" s="2"/>
      <c r="U16" s="2"/>
      <c r="V16" s="2"/>
      <c r="W16" s="2"/>
      <c r="X16" s="2"/>
      <c r="Y16" s="2"/>
    </row>
    <row r="17" spans="1:25" ht="23.45" customHeight="1" x14ac:dyDescent="0.25">
      <c r="A17" s="2"/>
      <c r="B17" s="283" t="s">
        <v>55</v>
      </c>
      <c r="C17" s="284"/>
      <c r="D17" s="285"/>
      <c r="E17" s="285"/>
      <c r="F17" s="2"/>
      <c r="G17" s="38" t="s">
        <v>56</v>
      </c>
      <c r="H17" s="39"/>
      <c r="I17" s="39"/>
      <c r="J17" s="39"/>
      <c r="K17" s="39"/>
      <c r="L17" s="39"/>
      <c r="M17" s="39"/>
      <c r="N17" s="39"/>
      <c r="O17" s="40"/>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1"/>
      <c r="B20" s="261" t="s">
        <v>57</v>
      </c>
      <c r="C20" s="262"/>
      <c r="D20" s="262"/>
      <c r="E20" s="262"/>
      <c r="F20" s="262"/>
      <c r="G20" s="262"/>
      <c r="H20" s="262"/>
      <c r="I20" s="262"/>
      <c r="J20" s="262"/>
      <c r="K20" s="262"/>
      <c r="L20" s="262"/>
      <c r="M20" s="262"/>
      <c r="N20" s="262"/>
      <c r="O20" s="262"/>
      <c r="P20" s="263"/>
      <c r="Q20" s="31"/>
      <c r="R20" s="31"/>
      <c r="S20" s="31"/>
      <c r="T20" s="31"/>
      <c r="U20" s="31"/>
      <c r="V20" s="31"/>
      <c r="W20" s="31"/>
      <c r="X20" s="31"/>
      <c r="Y20" s="31"/>
    </row>
    <row r="21" spans="1:25" x14ac:dyDescent="0.25">
      <c r="A21" s="2"/>
      <c r="B21" s="9"/>
      <c r="C21" s="2"/>
      <c r="D21" s="2"/>
      <c r="E21" s="2"/>
      <c r="F21" s="2"/>
      <c r="G21" s="41" t="s">
        <v>58</v>
      </c>
      <c r="H21" s="2"/>
      <c r="I21" s="2"/>
      <c r="J21" s="2"/>
      <c r="K21" s="2"/>
      <c r="L21" s="2"/>
      <c r="M21" s="2"/>
      <c r="N21" s="2"/>
      <c r="O21" s="2"/>
      <c r="P21" s="2"/>
      <c r="Q21" s="2"/>
      <c r="R21" s="2"/>
      <c r="S21" s="2"/>
      <c r="T21" s="2"/>
      <c r="U21" s="2"/>
      <c r="V21" s="2"/>
      <c r="W21" s="2"/>
      <c r="X21" s="2"/>
      <c r="Y21" s="2"/>
    </row>
    <row r="22" spans="1:25" x14ac:dyDescent="0.25">
      <c r="A22" s="2"/>
      <c r="B22" s="9"/>
      <c r="C22" s="42" t="s">
        <v>59</v>
      </c>
      <c r="D22" s="42" t="s">
        <v>60</v>
      </c>
      <c r="E22" s="42" t="s">
        <v>61</v>
      </c>
      <c r="F22" s="42" t="s">
        <v>62</v>
      </c>
      <c r="G22" s="42" t="s">
        <v>63</v>
      </c>
      <c r="H22" s="42" t="s">
        <v>64</v>
      </c>
      <c r="I22" s="42" t="s">
        <v>65</v>
      </c>
      <c r="J22" s="274" t="s">
        <v>66</v>
      </c>
      <c r="K22" s="275"/>
      <c r="L22" s="275"/>
      <c r="M22" s="275"/>
      <c r="N22" s="275"/>
      <c r="O22" s="275"/>
      <c r="P22" s="276"/>
      <c r="Q22" s="2"/>
      <c r="R22" s="2"/>
      <c r="S22" s="2"/>
      <c r="T22" s="2"/>
      <c r="U22" s="2"/>
      <c r="V22" s="2"/>
      <c r="W22" s="2"/>
      <c r="X22" s="2"/>
      <c r="Y22" s="2"/>
    </row>
    <row r="23" spans="1:25" x14ac:dyDescent="0.25">
      <c r="A23" s="2"/>
      <c r="B23" s="17">
        <f t="shared" ref="B23:B113" si="0">LEN(C23)</f>
        <v>9</v>
      </c>
      <c r="C23" s="43" t="s">
        <v>226</v>
      </c>
      <c r="D23" s="44"/>
      <c r="E23" s="45">
        <v>0</v>
      </c>
      <c r="F23" s="46">
        <v>0</v>
      </c>
      <c r="G23" s="47">
        <v>1</v>
      </c>
      <c r="H23" s="48"/>
      <c r="I23" s="46"/>
      <c r="J23" s="254" t="s">
        <v>228</v>
      </c>
      <c r="K23" s="255"/>
      <c r="L23" s="255"/>
      <c r="M23" s="255"/>
      <c r="N23" s="255"/>
      <c r="O23" s="255"/>
      <c r="P23" s="256"/>
      <c r="Q23" s="2"/>
      <c r="R23" s="2"/>
      <c r="S23" s="2"/>
      <c r="T23" s="2"/>
      <c r="U23" s="2"/>
      <c r="V23" s="2"/>
      <c r="W23" s="2"/>
      <c r="X23" s="2"/>
      <c r="Y23" s="2"/>
    </row>
    <row r="24" spans="1:25" x14ac:dyDescent="0.25">
      <c r="A24" s="2"/>
      <c r="B24" s="17">
        <f t="shared" si="0"/>
        <v>11</v>
      </c>
      <c r="C24" s="43" t="s">
        <v>227</v>
      </c>
      <c r="D24" s="44"/>
      <c r="E24" s="45">
        <v>0</v>
      </c>
      <c r="F24" s="46">
        <v>0</v>
      </c>
      <c r="G24" s="47">
        <v>1</v>
      </c>
      <c r="H24" s="48"/>
      <c r="I24" s="46"/>
      <c r="J24" s="254" t="s">
        <v>229</v>
      </c>
      <c r="K24" s="255"/>
      <c r="L24" s="255"/>
      <c r="M24" s="255"/>
      <c r="N24" s="255"/>
      <c r="O24" s="255"/>
      <c r="P24" s="256"/>
      <c r="Q24" s="2"/>
      <c r="R24" s="2"/>
      <c r="S24" s="2"/>
      <c r="T24" s="2"/>
      <c r="U24" s="2"/>
      <c r="V24" s="2"/>
      <c r="W24" s="2"/>
      <c r="X24" s="2"/>
      <c r="Y24" s="2"/>
    </row>
    <row r="25" spans="1:25" x14ac:dyDescent="0.25">
      <c r="A25" s="2"/>
      <c r="B25" s="17">
        <f t="shared" si="0"/>
        <v>10</v>
      </c>
      <c r="C25" s="43" t="s">
        <v>230</v>
      </c>
      <c r="D25" s="44"/>
      <c r="E25" s="45">
        <v>1</v>
      </c>
      <c r="F25" s="46">
        <v>0</v>
      </c>
      <c r="G25" s="47">
        <v>1</v>
      </c>
      <c r="H25" s="48"/>
      <c r="I25" s="46"/>
      <c r="J25" s="254" t="s">
        <v>232</v>
      </c>
      <c r="K25" s="255"/>
      <c r="L25" s="255"/>
      <c r="M25" s="255"/>
      <c r="N25" s="255"/>
      <c r="O25" s="255"/>
      <c r="P25" s="256"/>
      <c r="Q25" s="2"/>
      <c r="R25" s="2"/>
      <c r="S25" s="2"/>
      <c r="T25" s="2"/>
      <c r="U25" s="2"/>
      <c r="V25" s="2"/>
      <c r="W25" s="2"/>
      <c r="X25" s="2"/>
      <c r="Y25" s="2"/>
    </row>
    <row r="26" spans="1:25" x14ac:dyDescent="0.25">
      <c r="A26" s="2"/>
      <c r="B26" s="17">
        <f t="shared" si="0"/>
        <v>11</v>
      </c>
      <c r="C26" s="43" t="s">
        <v>643</v>
      </c>
      <c r="D26" s="44"/>
      <c r="E26" s="45">
        <v>0</v>
      </c>
      <c r="F26" s="46">
        <v>0</v>
      </c>
      <c r="G26" s="47">
        <v>1</v>
      </c>
      <c r="H26" s="48"/>
      <c r="I26" s="46"/>
      <c r="J26" s="254" t="s">
        <v>644</v>
      </c>
      <c r="K26" s="255"/>
      <c r="L26" s="255"/>
      <c r="M26" s="255"/>
      <c r="N26" s="255"/>
      <c r="O26" s="255"/>
      <c r="P26" s="256"/>
      <c r="Q26" s="2"/>
      <c r="R26" s="2"/>
      <c r="S26" s="2"/>
      <c r="T26" s="2"/>
      <c r="U26" s="2"/>
      <c r="V26" s="2"/>
      <c r="W26" s="2"/>
      <c r="X26" s="2"/>
      <c r="Y26" s="2"/>
    </row>
    <row r="27" spans="1:25" x14ac:dyDescent="0.25">
      <c r="A27" s="2"/>
      <c r="B27" s="17">
        <f t="shared" si="0"/>
        <v>8</v>
      </c>
      <c r="C27" s="43" t="s">
        <v>237</v>
      </c>
      <c r="D27" s="44"/>
      <c r="E27" s="45">
        <v>1</v>
      </c>
      <c r="F27" s="46">
        <v>0</v>
      </c>
      <c r="G27" s="47">
        <v>1</v>
      </c>
      <c r="H27" s="48"/>
      <c r="I27" s="46"/>
      <c r="J27" s="254" t="s">
        <v>280</v>
      </c>
      <c r="K27" s="255"/>
      <c r="L27" s="255"/>
      <c r="M27" s="255"/>
      <c r="N27" s="255"/>
      <c r="O27" s="255"/>
      <c r="P27" s="256"/>
      <c r="Q27" s="2"/>
      <c r="R27" s="2"/>
      <c r="S27" s="2"/>
      <c r="T27" s="2"/>
      <c r="U27" s="2"/>
      <c r="V27" s="2"/>
      <c r="W27" s="2"/>
      <c r="X27" s="2"/>
      <c r="Y27" s="2"/>
    </row>
    <row r="28" spans="1:25" x14ac:dyDescent="0.25">
      <c r="A28" s="2"/>
      <c r="B28" s="17">
        <f t="shared" si="0"/>
        <v>8</v>
      </c>
      <c r="C28" s="43" t="s">
        <v>233</v>
      </c>
      <c r="D28" s="44"/>
      <c r="E28" s="45">
        <v>93</v>
      </c>
      <c r="F28" s="46"/>
      <c r="G28" s="47"/>
      <c r="H28" s="48" t="s">
        <v>236</v>
      </c>
      <c r="I28" s="46">
        <v>2</v>
      </c>
      <c r="J28" s="254" t="s">
        <v>241</v>
      </c>
      <c r="K28" s="255"/>
      <c r="L28" s="255"/>
      <c r="M28" s="255"/>
      <c r="N28" s="255"/>
      <c r="O28" s="255"/>
      <c r="P28" s="256"/>
      <c r="Q28" s="2"/>
      <c r="R28" s="2"/>
      <c r="S28" s="2"/>
      <c r="T28" s="2"/>
      <c r="U28" s="2"/>
      <c r="V28" s="2"/>
      <c r="W28" s="2"/>
      <c r="X28" s="2"/>
      <c r="Y28" s="2"/>
    </row>
    <row r="29" spans="1:25" x14ac:dyDescent="0.25">
      <c r="A29" s="2"/>
      <c r="B29" s="17">
        <f t="shared" si="0"/>
        <v>10</v>
      </c>
      <c r="C29" s="43" t="s">
        <v>234</v>
      </c>
      <c r="D29" s="44" t="s">
        <v>645</v>
      </c>
      <c r="E29" s="45">
        <f>E26*500+E27*200</f>
        <v>200</v>
      </c>
      <c r="F29" s="46"/>
      <c r="G29" s="47"/>
      <c r="H29" s="48" t="s">
        <v>236</v>
      </c>
      <c r="I29" s="46">
        <v>2</v>
      </c>
      <c r="J29" s="254" t="s">
        <v>240</v>
      </c>
      <c r="K29" s="255"/>
      <c r="L29" s="255"/>
      <c r="M29" s="255"/>
      <c r="N29" s="255"/>
      <c r="O29" s="255"/>
      <c r="P29" s="256"/>
      <c r="Q29" s="2"/>
      <c r="R29" s="2"/>
      <c r="S29" s="2"/>
      <c r="T29" s="2"/>
      <c r="U29" s="2"/>
      <c r="V29" s="2"/>
      <c r="W29" s="2"/>
      <c r="X29" s="2"/>
      <c r="Y29" s="2"/>
    </row>
    <row r="30" spans="1:25" x14ac:dyDescent="0.25">
      <c r="A30" s="2"/>
      <c r="B30" s="17">
        <f t="shared" si="0"/>
        <v>9</v>
      </c>
      <c r="C30" s="43" t="s">
        <v>235</v>
      </c>
      <c r="D30" s="44"/>
      <c r="E30" s="45">
        <v>160</v>
      </c>
      <c r="F30" s="46"/>
      <c r="G30" s="47"/>
      <c r="H30" s="48" t="s">
        <v>236</v>
      </c>
      <c r="I30" s="46">
        <v>2</v>
      </c>
      <c r="J30" s="254" t="s">
        <v>242</v>
      </c>
      <c r="K30" s="255"/>
      <c r="L30" s="255"/>
      <c r="M30" s="255"/>
      <c r="N30" s="255"/>
      <c r="O30" s="255"/>
      <c r="P30" s="256"/>
      <c r="Q30" s="2"/>
      <c r="R30" s="2"/>
      <c r="S30" s="2"/>
      <c r="T30" s="2"/>
      <c r="U30" s="2"/>
      <c r="V30" s="2"/>
      <c r="W30" s="2"/>
      <c r="X30" s="2"/>
      <c r="Y30" s="2"/>
    </row>
    <row r="31" spans="1:25" ht="26.25" x14ac:dyDescent="0.25">
      <c r="A31" s="2"/>
      <c r="B31" s="17">
        <f t="shared" si="0"/>
        <v>9</v>
      </c>
      <c r="C31" s="43" t="s">
        <v>231</v>
      </c>
      <c r="D31" s="44" t="s">
        <v>238</v>
      </c>
      <c r="E31" s="45">
        <f>E24*E29+E23*E28+E25*E30</f>
        <v>160</v>
      </c>
      <c r="F31" s="46"/>
      <c r="G31" s="47"/>
      <c r="H31" s="48" t="s">
        <v>236</v>
      </c>
      <c r="I31" s="46">
        <v>2</v>
      </c>
      <c r="J31" s="254" t="s">
        <v>239</v>
      </c>
      <c r="K31" s="255"/>
      <c r="L31" s="255"/>
      <c r="M31" s="255"/>
      <c r="N31" s="255"/>
      <c r="O31" s="255"/>
      <c r="P31" s="256"/>
      <c r="Q31" s="2"/>
      <c r="R31" s="2"/>
      <c r="S31" s="2"/>
      <c r="T31" s="2"/>
      <c r="U31" s="2"/>
      <c r="V31" s="2"/>
      <c r="W31" s="2"/>
      <c r="X31" s="2"/>
      <c r="Y31" s="2"/>
    </row>
    <row r="32" spans="1:25" x14ac:dyDescent="0.25">
      <c r="A32" s="2"/>
      <c r="B32" s="17">
        <f t="shared" si="0"/>
        <v>13</v>
      </c>
      <c r="C32" s="43" t="s">
        <v>243</v>
      </c>
      <c r="D32" s="44"/>
      <c r="E32" s="45">
        <v>20</v>
      </c>
      <c r="F32" s="46"/>
      <c r="G32" s="47"/>
      <c r="H32" s="48" t="s">
        <v>236</v>
      </c>
      <c r="I32" s="46"/>
      <c r="J32" s="254" t="s">
        <v>244</v>
      </c>
      <c r="K32" s="255"/>
      <c r="L32" s="255"/>
      <c r="M32" s="255"/>
      <c r="N32" s="255"/>
      <c r="O32" s="255"/>
      <c r="P32" s="256"/>
      <c r="Q32" s="2"/>
      <c r="R32" s="2"/>
      <c r="S32" s="2"/>
      <c r="T32" s="2"/>
      <c r="U32" s="2"/>
      <c r="V32" s="2"/>
      <c r="W32" s="2"/>
      <c r="X32" s="2"/>
      <c r="Y32" s="2"/>
    </row>
    <row r="33" spans="1:25" x14ac:dyDescent="0.25">
      <c r="A33" s="2"/>
      <c r="B33" s="17">
        <f t="shared" si="0"/>
        <v>13</v>
      </c>
      <c r="C33" s="43" t="s">
        <v>245</v>
      </c>
      <c r="D33" s="44"/>
      <c r="E33" s="229" t="s">
        <v>500</v>
      </c>
      <c r="F33" s="46"/>
      <c r="G33" s="47"/>
      <c r="H33" s="48" t="s">
        <v>246</v>
      </c>
      <c r="I33" s="46">
        <v>5</v>
      </c>
      <c r="J33" s="254" t="s">
        <v>247</v>
      </c>
      <c r="K33" s="255"/>
      <c r="L33" s="255"/>
      <c r="M33" s="255"/>
      <c r="N33" s="255"/>
      <c r="O33" s="255"/>
      <c r="P33" s="256"/>
      <c r="Q33" s="2"/>
      <c r="R33" s="2"/>
      <c r="S33" s="2"/>
      <c r="T33" s="2"/>
      <c r="U33" s="2"/>
      <c r="V33" s="2"/>
      <c r="W33" s="2"/>
      <c r="X33" s="2"/>
      <c r="Y33" s="2"/>
    </row>
    <row r="34" spans="1:25" x14ac:dyDescent="0.25">
      <c r="A34" s="2"/>
      <c r="B34" s="17">
        <f t="shared" si="0"/>
        <v>14</v>
      </c>
      <c r="C34" s="43" t="s">
        <v>249</v>
      </c>
      <c r="D34" s="44" t="s">
        <v>653</v>
      </c>
      <c r="E34" s="45">
        <f>(E23+E24)*4+E25*3</f>
        <v>3</v>
      </c>
      <c r="F34" s="46"/>
      <c r="G34" s="47"/>
      <c r="H34" s="48" t="s">
        <v>250</v>
      </c>
      <c r="I34" s="46">
        <v>2</v>
      </c>
      <c r="J34" s="254" t="s">
        <v>251</v>
      </c>
      <c r="K34" s="255"/>
      <c r="L34" s="255"/>
      <c r="M34" s="255"/>
      <c r="N34" s="255"/>
      <c r="O34" s="255"/>
      <c r="P34" s="256"/>
      <c r="Q34" s="2"/>
      <c r="R34" s="2"/>
      <c r="S34" s="2"/>
      <c r="T34" s="2"/>
      <c r="U34" s="2"/>
      <c r="V34" s="2"/>
      <c r="W34" s="2"/>
      <c r="X34" s="2"/>
      <c r="Y34" s="2"/>
    </row>
    <row r="35" spans="1:25" x14ac:dyDescent="0.25">
      <c r="A35" s="2"/>
      <c r="B35" s="17">
        <f t="shared" si="0"/>
        <v>5</v>
      </c>
      <c r="C35" s="43" t="s">
        <v>260</v>
      </c>
      <c r="D35" s="44"/>
      <c r="E35" s="79">
        <f>'Calculations Sheet'!B15</f>
        <v>5.7686136358805937</v>
      </c>
      <c r="F35" s="46">
        <f>'Calculations Sheet'!D15</f>
        <v>2.8843068179402969</v>
      </c>
      <c r="G35" s="47">
        <f>'Calculations Sheet'!C15</f>
        <v>11.537227271761187</v>
      </c>
      <c r="H35" s="48" t="s">
        <v>261</v>
      </c>
      <c r="I35" s="46">
        <v>1</v>
      </c>
      <c r="J35" s="254" t="s">
        <v>668</v>
      </c>
      <c r="K35" s="255"/>
      <c r="L35" s="255"/>
      <c r="M35" s="255"/>
      <c r="N35" s="255"/>
      <c r="O35" s="255"/>
      <c r="P35" s="256"/>
      <c r="Q35" s="2"/>
      <c r="R35" s="2"/>
      <c r="S35" s="2"/>
      <c r="T35" s="2"/>
      <c r="U35" s="2"/>
      <c r="V35" s="2"/>
      <c r="W35" s="2"/>
      <c r="X35" s="2"/>
      <c r="Y35" s="2"/>
    </row>
    <row r="36" spans="1:25" x14ac:dyDescent="0.25">
      <c r="A36" s="2"/>
      <c r="B36" s="17">
        <f t="shared" si="0"/>
        <v>9</v>
      </c>
      <c r="C36" s="43" t="s">
        <v>248</v>
      </c>
      <c r="D36" s="44" t="s">
        <v>356</v>
      </c>
      <c r="E36" s="45">
        <f>E35*6*E34*(E31-E32)/1000</f>
        <v>14.536906362419096</v>
      </c>
      <c r="F36" s="46"/>
      <c r="G36" s="47"/>
      <c r="H36" s="48" t="s">
        <v>578</v>
      </c>
      <c r="I36" s="46" t="s">
        <v>576</v>
      </c>
      <c r="J36" s="254" t="s">
        <v>263</v>
      </c>
      <c r="K36" s="255"/>
      <c r="L36" s="255"/>
      <c r="M36" s="255"/>
      <c r="N36" s="255"/>
      <c r="O36" s="255"/>
      <c r="P36" s="256"/>
      <c r="Q36" s="2"/>
      <c r="R36" s="2"/>
      <c r="S36" s="2"/>
      <c r="T36" s="2"/>
      <c r="U36" s="2"/>
      <c r="V36" s="2"/>
      <c r="W36" s="2"/>
      <c r="X36" s="2"/>
      <c r="Y36" s="2"/>
    </row>
    <row r="37" spans="1:25" ht="26.25" x14ac:dyDescent="0.25">
      <c r="A37" s="2"/>
      <c r="B37" s="17">
        <f t="shared" si="0"/>
        <v>10</v>
      </c>
      <c r="C37" s="43" t="s">
        <v>264</v>
      </c>
      <c r="D37" s="44" t="s">
        <v>619</v>
      </c>
      <c r="E37" s="45">
        <f>E33*(E31-E32)*(E58*1000)/1000+E36</f>
        <v>1159.8986960789684</v>
      </c>
      <c r="F37" s="46"/>
      <c r="G37" s="47"/>
      <c r="H37" s="48" t="s">
        <v>578</v>
      </c>
      <c r="I37" s="46" t="s">
        <v>577</v>
      </c>
      <c r="J37" s="254" t="s">
        <v>265</v>
      </c>
      <c r="K37" s="255"/>
      <c r="L37" s="255"/>
      <c r="M37" s="255"/>
      <c r="N37" s="255"/>
      <c r="O37" s="255"/>
      <c r="P37" s="256"/>
      <c r="Q37" s="2"/>
      <c r="R37" s="2"/>
      <c r="S37" s="2"/>
      <c r="T37" s="2"/>
      <c r="U37" s="2"/>
      <c r="V37" s="2"/>
      <c r="W37" s="2"/>
      <c r="X37" s="2"/>
      <c r="Y37" s="2"/>
    </row>
    <row r="38" spans="1:25" x14ac:dyDescent="0.25">
      <c r="A38" s="2"/>
      <c r="B38" s="17">
        <f t="shared" si="0"/>
        <v>12</v>
      </c>
      <c r="C38" s="43" t="s">
        <v>458</v>
      </c>
      <c r="D38" s="44"/>
      <c r="E38" s="79">
        <v>0.72</v>
      </c>
      <c r="F38" s="46">
        <v>0</v>
      </c>
      <c r="G38" s="80">
        <v>0.76881860149903114</v>
      </c>
      <c r="H38" s="48" t="s">
        <v>298</v>
      </c>
      <c r="I38" s="46">
        <v>6</v>
      </c>
      <c r="J38" s="254" t="s">
        <v>459</v>
      </c>
      <c r="K38" s="255"/>
      <c r="L38" s="255"/>
      <c r="M38" s="255"/>
      <c r="N38" s="255"/>
      <c r="O38" s="255"/>
      <c r="P38" s="256"/>
      <c r="Q38" s="2"/>
      <c r="R38" s="2"/>
      <c r="S38" s="2"/>
      <c r="T38" s="2"/>
      <c r="U38" s="2"/>
      <c r="V38" s="2"/>
      <c r="W38" s="2"/>
      <c r="X38" s="2"/>
      <c r="Y38" s="2"/>
    </row>
    <row r="39" spans="1:25" x14ac:dyDescent="0.25">
      <c r="A39" s="2"/>
      <c r="B39" s="17">
        <f t="shared" si="0"/>
        <v>11</v>
      </c>
      <c r="C39" s="43" t="s">
        <v>640</v>
      </c>
      <c r="D39" s="44"/>
      <c r="E39" s="79">
        <f>'Calculations Sheet'!D90</f>
        <v>1.3006969368980081</v>
      </c>
      <c r="F39" s="46"/>
      <c r="G39" s="80"/>
      <c r="H39" s="48" t="s">
        <v>298</v>
      </c>
      <c r="I39" s="46">
        <v>2</v>
      </c>
      <c r="J39" s="254" t="s">
        <v>462</v>
      </c>
      <c r="K39" s="255"/>
      <c r="L39" s="255"/>
      <c r="M39" s="255"/>
      <c r="N39" s="255"/>
      <c r="O39" s="255"/>
      <c r="P39" s="256"/>
      <c r="Q39" s="2"/>
      <c r="R39" s="2"/>
      <c r="S39" s="2"/>
      <c r="T39" s="2"/>
      <c r="U39" s="2"/>
      <c r="V39" s="2"/>
      <c r="W39" s="2"/>
      <c r="X39" s="2"/>
      <c r="Y39" s="2"/>
    </row>
    <row r="40" spans="1:25" x14ac:dyDescent="0.25">
      <c r="A40" s="2"/>
      <c r="B40" s="17"/>
      <c r="C40" s="43" t="s">
        <v>463</v>
      </c>
      <c r="D40" s="44" t="s">
        <v>641</v>
      </c>
      <c r="E40" s="79">
        <f>E38*E39</f>
        <v>0.93650179456656579</v>
      </c>
      <c r="F40" s="46"/>
      <c r="G40" s="47"/>
      <c r="H40" s="48" t="s">
        <v>298</v>
      </c>
      <c r="I40" s="46">
        <v>2</v>
      </c>
      <c r="J40" s="254" t="s">
        <v>464</v>
      </c>
      <c r="K40" s="255"/>
      <c r="L40" s="255"/>
      <c r="M40" s="255"/>
      <c r="N40" s="255"/>
      <c r="O40" s="255"/>
      <c r="P40" s="256"/>
      <c r="Q40" s="2"/>
      <c r="R40" s="2"/>
      <c r="S40" s="2"/>
      <c r="T40" s="2"/>
      <c r="U40" s="2"/>
      <c r="V40" s="2"/>
      <c r="W40" s="2"/>
      <c r="X40" s="2"/>
      <c r="Y40" s="2"/>
    </row>
    <row r="41" spans="1:25" x14ac:dyDescent="0.25">
      <c r="A41" s="2"/>
      <c r="B41" s="17">
        <f t="shared" si="0"/>
        <v>9</v>
      </c>
      <c r="C41" s="43" t="s">
        <v>413</v>
      </c>
      <c r="D41" s="44"/>
      <c r="E41" s="79">
        <f>'Calculations Sheet'!I73/1000</f>
        <v>0.14028984867835448</v>
      </c>
      <c r="F41" s="46"/>
      <c r="G41" s="47"/>
      <c r="H41" s="48" t="s">
        <v>352</v>
      </c>
      <c r="I41" s="46">
        <v>2</v>
      </c>
      <c r="J41" s="254" t="s">
        <v>461</v>
      </c>
      <c r="K41" s="255"/>
      <c r="L41" s="255"/>
      <c r="M41" s="255"/>
      <c r="N41" s="255"/>
      <c r="O41" s="255"/>
      <c r="P41" s="256"/>
      <c r="Q41" s="2"/>
      <c r="R41" s="2"/>
      <c r="S41" s="2"/>
      <c r="T41" s="2"/>
      <c r="U41" s="2"/>
      <c r="V41" s="2"/>
      <c r="W41" s="2"/>
      <c r="X41" s="2"/>
      <c r="Y41" s="2"/>
    </row>
    <row r="42" spans="1:25" ht="26.25" x14ac:dyDescent="0.25">
      <c r="A42" s="2"/>
      <c r="B42" s="17">
        <f t="shared" si="0"/>
        <v>10</v>
      </c>
      <c r="C42" s="43" t="s">
        <v>319</v>
      </c>
      <c r="D42" s="44" t="str">
        <f>"mol_wt_re+"&amp;'Calculations Sheet'!K67&amp;"/1000*bastnaesite+"&amp;'Calculations Sheet'!K68&amp;"/1000*monazite"</f>
        <v>mol_wt_re+79.0073/1000*bastnaesite+94.971362/1000*monazite</v>
      </c>
      <c r="E42" s="79">
        <f>E41+'Calculations Sheet'!K67/1000*E26+'Calculations Sheet'!K68/1000*E27</f>
        <v>0.23526121067835448</v>
      </c>
      <c r="F42" s="46"/>
      <c r="G42" s="47"/>
      <c r="H42" s="48" t="s">
        <v>352</v>
      </c>
      <c r="I42" s="46">
        <v>2</v>
      </c>
      <c r="J42" s="254" t="s">
        <v>460</v>
      </c>
      <c r="K42" s="255"/>
      <c r="L42" s="255"/>
      <c r="M42" s="255"/>
      <c r="N42" s="255"/>
      <c r="O42" s="255"/>
      <c r="P42" s="256"/>
      <c r="Q42" s="2"/>
      <c r="R42" s="2"/>
      <c r="S42" s="2"/>
      <c r="T42" s="2"/>
      <c r="U42" s="2"/>
      <c r="V42" s="2"/>
      <c r="W42" s="2"/>
      <c r="X42" s="2"/>
      <c r="Y42" s="2"/>
    </row>
    <row r="43" spans="1:25" x14ac:dyDescent="0.25">
      <c r="A43" s="2"/>
      <c r="B43" s="17">
        <f t="shared" si="0"/>
        <v>7</v>
      </c>
      <c r="C43" s="43" t="s">
        <v>338</v>
      </c>
      <c r="D43" s="44" t="s">
        <v>618</v>
      </c>
      <c r="E43" s="79">
        <f>E40/E42</f>
        <v>3.9806893446915765</v>
      </c>
      <c r="F43" s="46"/>
      <c r="G43" s="47"/>
      <c r="H43" s="48" t="s">
        <v>520</v>
      </c>
      <c r="I43" s="46">
        <v>2</v>
      </c>
      <c r="J43" s="254" t="s">
        <v>579</v>
      </c>
      <c r="K43" s="255"/>
      <c r="L43" s="255"/>
      <c r="M43" s="255"/>
      <c r="N43" s="255"/>
      <c r="O43" s="255"/>
      <c r="P43" s="256"/>
      <c r="Q43" s="2"/>
      <c r="R43" s="2"/>
      <c r="S43" s="2"/>
      <c r="T43" s="2"/>
      <c r="U43" s="2"/>
      <c r="V43" s="2"/>
      <c r="W43" s="2"/>
      <c r="X43" s="2"/>
      <c r="Y43" s="2"/>
    </row>
    <row r="44" spans="1:25" x14ac:dyDescent="0.25">
      <c r="A44" s="2"/>
      <c r="B44" s="17">
        <f t="shared" si="0"/>
        <v>9</v>
      </c>
      <c r="C44" s="43" t="s">
        <v>339</v>
      </c>
      <c r="D44" s="44"/>
      <c r="E44" s="197">
        <v>3</v>
      </c>
      <c r="F44" s="46"/>
      <c r="G44" s="47"/>
      <c r="H44" s="48" t="s">
        <v>503</v>
      </c>
      <c r="I44" s="46">
        <v>2</v>
      </c>
      <c r="J44" s="254" t="s">
        <v>580</v>
      </c>
      <c r="K44" s="255"/>
      <c r="L44" s="255"/>
      <c r="M44" s="255"/>
      <c r="N44" s="255"/>
      <c r="O44" s="255"/>
      <c r="P44" s="256"/>
      <c r="Q44" s="2"/>
      <c r="R44" s="2"/>
      <c r="S44" s="2"/>
      <c r="T44" s="2"/>
      <c r="U44" s="2"/>
      <c r="V44" s="2"/>
      <c r="W44" s="2"/>
      <c r="X44" s="2"/>
      <c r="Y44" s="2"/>
    </row>
    <row r="45" spans="1:25" x14ac:dyDescent="0.25">
      <c r="A45" s="2"/>
      <c r="B45" s="17">
        <f t="shared" si="0"/>
        <v>11</v>
      </c>
      <c r="C45" s="43" t="s">
        <v>340</v>
      </c>
      <c r="D45" s="44"/>
      <c r="E45" s="197">
        <v>1.5</v>
      </c>
      <c r="F45" s="46"/>
      <c r="G45" s="47"/>
      <c r="H45" s="48" t="s">
        <v>503</v>
      </c>
      <c r="I45" s="46">
        <v>3</v>
      </c>
      <c r="J45" s="254" t="s">
        <v>581</v>
      </c>
      <c r="K45" s="255"/>
      <c r="L45" s="255"/>
      <c r="M45" s="255"/>
      <c r="N45" s="255"/>
      <c r="O45" s="255"/>
      <c r="P45" s="256"/>
      <c r="Q45" s="2"/>
      <c r="R45" s="2"/>
      <c r="S45" s="2"/>
      <c r="T45" s="2"/>
      <c r="U45" s="2"/>
      <c r="V45" s="2"/>
      <c r="W45" s="2"/>
      <c r="X45" s="2"/>
      <c r="Y45" s="2"/>
    </row>
    <row r="46" spans="1:25" x14ac:dyDescent="0.25">
      <c r="A46" s="2"/>
      <c r="B46" s="17">
        <f t="shared" si="0"/>
        <v>10</v>
      </c>
      <c r="C46" s="43" t="s">
        <v>341</v>
      </c>
      <c r="D46" s="44"/>
      <c r="E46" s="197">
        <v>3</v>
      </c>
      <c r="F46" s="46"/>
      <c r="G46" s="47"/>
      <c r="H46" s="48" t="s">
        <v>503</v>
      </c>
      <c r="I46" s="46">
        <v>3</v>
      </c>
      <c r="J46" s="254" t="s">
        <v>582</v>
      </c>
      <c r="K46" s="255"/>
      <c r="L46" s="255"/>
      <c r="M46" s="255"/>
      <c r="N46" s="255"/>
      <c r="O46" s="255"/>
      <c r="P46" s="256"/>
      <c r="Q46" s="2"/>
      <c r="R46" s="2"/>
      <c r="S46" s="2"/>
      <c r="T46" s="2"/>
      <c r="U46" s="2"/>
      <c r="V46" s="2"/>
      <c r="W46" s="2"/>
      <c r="X46" s="2"/>
      <c r="Y46" s="2"/>
    </row>
    <row r="47" spans="1:25" x14ac:dyDescent="0.25">
      <c r="A47" s="2"/>
      <c r="B47" s="17">
        <f t="shared" si="0"/>
        <v>8</v>
      </c>
      <c r="C47" s="43" t="s">
        <v>521</v>
      </c>
      <c r="D47" s="44" t="s">
        <v>498</v>
      </c>
      <c r="E47" s="79">
        <f>E44*$E$43*E23</f>
        <v>0</v>
      </c>
      <c r="F47" s="46"/>
      <c r="G47" s="47"/>
      <c r="H47" s="48" t="s">
        <v>520</v>
      </c>
      <c r="I47" s="46">
        <v>2</v>
      </c>
      <c r="J47" s="254" t="s">
        <v>583</v>
      </c>
      <c r="K47" s="255"/>
      <c r="L47" s="255"/>
      <c r="M47" s="255"/>
      <c r="N47" s="255"/>
      <c r="O47" s="255"/>
      <c r="P47" s="256"/>
      <c r="Q47" s="2"/>
      <c r="R47" s="2"/>
      <c r="S47" s="2"/>
      <c r="T47" s="2"/>
      <c r="U47" s="2"/>
      <c r="V47" s="2"/>
      <c r="W47" s="2"/>
      <c r="X47" s="2"/>
      <c r="Y47" s="2"/>
    </row>
    <row r="48" spans="1:25" x14ac:dyDescent="0.25">
      <c r="A48" s="2"/>
      <c r="B48" s="17">
        <f t="shared" si="0"/>
        <v>10</v>
      </c>
      <c r="C48" s="43" t="s">
        <v>546</v>
      </c>
      <c r="D48" s="44" t="s">
        <v>497</v>
      </c>
      <c r="E48" s="79">
        <f>E45*$E$43*E24</f>
        <v>0</v>
      </c>
      <c r="F48" s="46"/>
      <c r="G48" s="47"/>
      <c r="H48" s="48" t="s">
        <v>520</v>
      </c>
      <c r="I48" s="46">
        <v>3</v>
      </c>
      <c r="J48" s="254" t="s">
        <v>585</v>
      </c>
      <c r="K48" s="255"/>
      <c r="L48" s="255"/>
      <c r="M48" s="255"/>
      <c r="N48" s="255"/>
      <c r="O48" s="255"/>
      <c r="P48" s="256"/>
      <c r="Q48" s="2"/>
      <c r="R48" s="2"/>
      <c r="S48" s="2"/>
      <c r="T48" s="2"/>
      <c r="U48" s="2"/>
      <c r="V48" s="2"/>
      <c r="W48" s="2"/>
      <c r="X48" s="2"/>
      <c r="Y48" s="2"/>
    </row>
    <row r="49" spans="1:25" x14ac:dyDescent="0.25">
      <c r="A49" s="2"/>
      <c r="B49" s="17">
        <f t="shared" si="0"/>
        <v>9</v>
      </c>
      <c r="C49" s="43" t="s">
        <v>547</v>
      </c>
      <c r="D49" s="44" t="s">
        <v>499</v>
      </c>
      <c r="E49" s="79">
        <f>E46*$E$43*E25</f>
        <v>11.94206803407473</v>
      </c>
      <c r="F49" s="46"/>
      <c r="G49" s="47"/>
      <c r="H49" s="48" t="s">
        <v>520</v>
      </c>
      <c r="I49" s="46">
        <v>3</v>
      </c>
      <c r="J49" s="254" t="s">
        <v>584</v>
      </c>
      <c r="K49" s="255"/>
      <c r="L49" s="255"/>
      <c r="M49" s="255"/>
      <c r="N49" s="255"/>
      <c r="O49" s="255"/>
      <c r="P49" s="256"/>
      <c r="Q49" s="2"/>
      <c r="R49" s="2"/>
      <c r="S49" s="2"/>
      <c r="T49" s="2"/>
      <c r="U49" s="2"/>
      <c r="V49" s="2"/>
      <c r="W49" s="2"/>
      <c r="X49" s="2"/>
      <c r="Y49" s="2"/>
    </row>
    <row r="50" spans="1:25" x14ac:dyDescent="0.25">
      <c r="A50" s="2"/>
      <c r="B50" s="17">
        <f t="shared" si="0"/>
        <v>6</v>
      </c>
      <c r="C50" s="43" t="s">
        <v>346</v>
      </c>
      <c r="D50" s="44"/>
      <c r="E50" s="79">
        <f>'Calculations Sheet'!D114</f>
        <v>3.6460940000000004E-2</v>
      </c>
      <c r="F50" s="46"/>
      <c r="G50" s="47"/>
      <c r="H50" s="48" t="s">
        <v>352</v>
      </c>
      <c r="I50" s="46"/>
      <c r="J50" s="254" t="s">
        <v>358</v>
      </c>
      <c r="K50" s="255"/>
      <c r="L50" s="255"/>
      <c r="M50" s="255"/>
      <c r="N50" s="255"/>
      <c r="O50" s="255"/>
      <c r="P50" s="256"/>
      <c r="Q50" s="2"/>
      <c r="R50" s="2"/>
      <c r="S50" s="2"/>
      <c r="T50" s="2"/>
      <c r="U50" s="2"/>
      <c r="V50" s="2"/>
      <c r="W50" s="2"/>
      <c r="X50" s="2"/>
      <c r="Y50" s="2"/>
    </row>
    <row r="51" spans="1:25" x14ac:dyDescent="0.25">
      <c r="A51" s="2"/>
      <c r="B51" s="17">
        <f t="shared" si="0"/>
        <v>8</v>
      </c>
      <c r="C51" s="43" t="s">
        <v>347</v>
      </c>
      <c r="D51" s="44"/>
      <c r="E51" s="79">
        <f>'Calculations Sheet'!D110</f>
        <v>9.8078479999999996E-2</v>
      </c>
      <c r="F51" s="46"/>
      <c r="G51" s="47"/>
      <c r="H51" s="48" t="s">
        <v>352</v>
      </c>
      <c r="I51" s="46"/>
      <c r="J51" s="254" t="s">
        <v>359</v>
      </c>
      <c r="K51" s="255"/>
      <c r="L51" s="255"/>
      <c r="M51" s="255"/>
      <c r="N51" s="255"/>
      <c r="O51" s="255"/>
      <c r="P51" s="256"/>
      <c r="Q51" s="2"/>
      <c r="R51" s="2"/>
      <c r="S51" s="2"/>
      <c r="T51" s="2"/>
      <c r="U51" s="2"/>
      <c r="V51" s="2"/>
      <c r="W51" s="2"/>
      <c r="X51" s="2"/>
      <c r="Y51" s="2"/>
    </row>
    <row r="52" spans="1:25" x14ac:dyDescent="0.25">
      <c r="A52" s="2"/>
      <c r="B52" s="17">
        <f t="shared" si="0"/>
        <v>7</v>
      </c>
      <c r="C52" s="43" t="s">
        <v>348</v>
      </c>
      <c r="D52" s="44"/>
      <c r="E52" s="79">
        <f>'Calculations Sheet'!D111</f>
        <v>3.9997108999999996E-2</v>
      </c>
      <c r="F52" s="46"/>
      <c r="G52" s="47"/>
      <c r="H52" s="48" t="s">
        <v>352</v>
      </c>
      <c r="I52" s="46"/>
      <c r="J52" s="254" t="s">
        <v>360</v>
      </c>
      <c r="K52" s="255"/>
      <c r="L52" s="255"/>
      <c r="M52" s="255"/>
      <c r="N52" s="255"/>
      <c r="O52" s="255"/>
      <c r="P52" s="256"/>
      <c r="Q52" s="2"/>
      <c r="R52" s="2"/>
      <c r="S52" s="2"/>
      <c r="T52" s="2"/>
      <c r="U52" s="2"/>
      <c r="V52" s="2"/>
      <c r="W52" s="2"/>
      <c r="X52" s="2"/>
      <c r="Y52" s="2"/>
    </row>
    <row r="53" spans="1:25" x14ac:dyDescent="0.25">
      <c r="A53" s="2"/>
      <c r="B53" s="17">
        <f t="shared" si="0"/>
        <v>12</v>
      </c>
      <c r="C53" s="43" t="s">
        <v>531</v>
      </c>
      <c r="D53" s="44" t="s">
        <v>548</v>
      </c>
      <c r="E53" s="79">
        <f>E47*E50</f>
        <v>0</v>
      </c>
      <c r="F53" s="46"/>
      <c r="G53" s="47"/>
      <c r="H53" s="48" t="s">
        <v>298</v>
      </c>
      <c r="I53" s="46">
        <v>2</v>
      </c>
      <c r="J53" s="254" t="s">
        <v>586</v>
      </c>
      <c r="K53" s="255"/>
      <c r="L53" s="255"/>
      <c r="M53" s="255"/>
      <c r="N53" s="255"/>
      <c r="O53" s="255"/>
      <c r="P53" s="256"/>
      <c r="Q53" s="2"/>
      <c r="R53" s="2"/>
      <c r="S53" s="2"/>
      <c r="T53" s="2"/>
      <c r="U53" s="2"/>
      <c r="V53" s="2"/>
      <c r="W53" s="2"/>
      <c r="X53" s="2"/>
      <c r="Y53" s="2"/>
    </row>
    <row r="54" spans="1:25" x14ac:dyDescent="0.25">
      <c r="A54" s="2"/>
      <c r="B54" s="17">
        <f t="shared" si="0"/>
        <v>14</v>
      </c>
      <c r="C54" s="43" t="s">
        <v>544</v>
      </c>
      <c r="D54" s="44" t="s">
        <v>549</v>
      </c>
      <c r="E54" s="79">
        <f>E48*E51</f>
        <v>0</v>
      </c>
      <c r="F54" s="46"/>
      <c r="G54" s="47"/>
      <c r="H54" s="48" t="s">
        <v>298</v>
      </c>
      <c r="I54" s="46" t="s">
        <v>599</v>
      </c>
      <c r="J54" s="254" t="s">
        <v>587</v>
      </c>
      <c r="K54" s="255"/>
      <c r="L54" s="255"/>
      <c r="M54" s="255"/>
      <c r="N54" s="255"/>
      <c r="O54" s="255"/>
      <c r="P54" s="256"/>
      <c r="Q54" s="2"/>
      <c r="R54" s="2"/>
      <c r="S54" s="2"/>
      <c r="T54" s="2"/>
      <c r="U54" s="2"/>
      <c r="V54" s="2"/>
      <c r="W54" s="2"/>
      <c r="X54" s="2"/>
      <c r="Y54" s="2"/>
    </row>
    <row r="55" spans="1:25" x14ac:dyDescent="0.25">
      <c r="A55" s="2"/>
      <c r="B55" s="17">
        <f t="shared" si="0"/>
        <v>13</v>
      </c>
      <c r="C55" s="43" t="s">
        <v>545</v>
      </c>
      <c r="D55" s="44" t="s">
        <v>550</v>
      </c>
      <c r="E55" s="79">
        <f>E49*E52</f>
        <v>0.47764819684430265</v>
      </c>
      <c r="F55" s="46"/>
      <c r="G55" s="47"/>
      <c r="H55" s="48" t="s">
        <v>298</v>
      </c>
      <c r="I55" s="46" t="s">
        <v>599</v>
      </c>
      <c r="J55" s="254" t="s">
        <v>588</v>
      </c>
      <c r="K55" s="255"/>
      <c r="L55" s="255"/>
      <c r="M55" s="255"/>
      <c r="N55" s="255"/>
      <c r="O55" s="255"/>
      <c r="P55" s="256"/>
      <c r="Q55" s="2"/>
      <c r="R55" s="2"/>
      <c r="S55" s="2"/>
      <c r="T55" s="2"/>
      <c r="U55" s="2"/>
      <c r="V55" s="2"/>
      <c r="W55" s="2"/>
      <c r="X55" s="2"/>
      <c r="Y55" s="2"/>
    </row>
    <row r="56" spans="1:25" ht="26.25" x14ac:dyDescent="0.25">
      <c r="A56" s="2"/>
      <c r="B56" s="17">
        <f t="shared" si="0"/>
        <v>14</v>
      </c>
      <c r="C56" s="43" t="s">
        <v>353</v>
      </c>
      <c r="D56" s="44" t="s">
        <v>617</v>
      </c>
      <c r="E56" s="79">
        <f>E53/0.3*0.7+E54/0.93*0.07+E55/0.5*0.5</f>
        <v>0.47764819684430265</v>
      </c>
      <c r="F56" s="46"/>
      <c r="G56" s="47"/>
      <c r="H56" s="48" t="s">
        <v>298</v>
      </c>
      <c r="I56" s="46" t="s">
        <v>599</v>
      </c>
      <c r="J56" s="254" t="s">
        <v>589</v>
      </c>
      <c r="K56" s="255"/>
      <c r="L56" s="255"/>
      <c r="M56" s="255"/>
      <c r="N56" s="255"/>
      <c r="O56" s="255"/>
      <c r="P56" s="256"/>
      <c r="Q56" s="2"/>
      <c r="R56" s="2"/>
      <c r="S56" s="2"/>
      <c r="T56" s="2"/>
      <c r="U56" s="2"/>
      <c r="V56" s="2"/>
      <c r="W56" s="2"/>
      <c r="X56" s="2"/>
      <c r="Y56" s="2"/>
    </row>
    <row r="57" spans="1:25" x14ac:dyDescent="0.25">
      <c r="A57" s="2"/>
      <c r="B57" s="17">
        <f t="shared" si="0"/>
        <v>9</v>
      </c>
      <c r="C57" s="43" t="s">
        <v>526</v>
      </c>
      <c r="D57" s="44" t="str">
        <f>"mol_ree*(mol_wt_re+3*"&amp;'Calculations Sheet'!K45&amp;"/1000)"</f>
        <v>mol_ree*(mol_wt_re+3*35.453/1000)</v>
      </c>
      <c r="E57" s="79">
        <f>E43*(E41+3*'Calculations Sheet'!K45/1000)</f>
        <v>0.98183244381437074</v>
      </c>
      <c r="F57" s="46"/>
      <c r="G57" s="47"/>
      <c r="H57" s="48" t="s">
        <v>298</v>
      </c>
      <c r="I57" s="46" t="s">
        <v>599</v>
      </c>
      <c r="J57" s="254" t="s">
        <v>590</v>
      </c>
      <c r="K57" s="255"/>
      <c r="L57" s="255"/>
      <c r="M57" s="255"/>
      <c r="N57" s="255"/>
      <c r="O57" s="255"/>
      <c r="P57" s="256"/>
      <c r="Q57" s="2"/>
      <c r="R57" s="2"/>
      <c r="S57" s="2"/>
      <c r="T57" s="2"/>
      <c r="U57" s="2"/>
      <c r="V57" s="2"/>
      <c r="W57" s="2"/>
      <c r="X57" s="2"/>
      <c r="Y57" s="2"/>
    </row>
    <row r="58" spans="1:25" ht="26.25" x14ac:dyDescent="0.25">
      <c r="A58" s="2"/>
      <c r="B58" s="17">
        <f t="shared" si="0"/>
        <v>10</v>
      </c>
      <c r="C58" s="43" t="s">
        <v>530</v>
      </c>
      <c r="D58" s="44" t="s">
        <v>616</v>
      </c>
      <c r="E58" s="79">
        <f>1+E56+E53+E54+E55</f>
        <v>1.9552963936886054</v>
      </c>
      <c r="F58" s="46"/>
      <c r="G58" s="47"/>
      <c r="H58" s="48" t="s">
        <v>298</v>
      </c>
      <c r="I58" s="46" t="s">
        <v>599</v>
      </c>
      <c r="J58" s="254" t="s">
        <v>591</v>
      </c>
      <c r="K58" s="255"/>
      <c r="L58" s="255"/>
      <c r="M58" s="255"/>
      <c r="N58" s="255"/>
      <c r="O58" s="255"/>
      <c r="P58" s="256"/>
      <c r="Q58" s="2"/>
      <c r="R58" s="2"/>
      <c r="S58" s="2"/>
      <c r="T58" s="2"/>
      <c r="U58" s="2"/>
      <c r="V58" s="2"/>
      <c r="W58" s="2"/>
      <c r="X58" s="2"/>
      <c r="Y58" s="2"/>
    </row>
    <row r="59" spans="1:25" x14ac:dyDescent="0.25">
      <c r="A59" s="2"/>
      <c r="B59" s="17">
        <f t="shared" si="0"/>
        <v>9</v>
      </c>
      <c r="C59" s="43" t="s">
        <v>393</v>
      </c>
      <c r="D59" s="44" t="s">
        <v>646</v>
      </c>
      <c r="E59" s="79">
        <f>E23*E26*1+E24*E26*1</f>
        <v>0</v>
      </c>
      <c r="F59" s="46"/>
      <c r="G59" s="47"/>
      <c r="H59" s="48" t="s">
        <v>503</v>
      </c>
      <c r="I59" s="46">
        <v>2</v>
      </c>
      <c r="J59" s="254" t="s">
        <v>592</v>
      </c>
      <c r="K59" s="255"/>
      <c r="L59" s="255"/>
      <c r="M59" s="255"/>
      <c r="N59" s="255"/>
      <c r="O59" s="255"/>
      <c r="P59" s="256"/>
      <c r="Q59" s="2"/>
      <c r="R59" s="2"/>
      <c r="S59" s="2"/>
      <c r="T59" s="2"/>
      <c r="U59" s="2"/>
      <c r="V59" s="2"/>
      <c r="W59" s="2"/>
      <c r="X59" s="2"/>
      <c r="Y59" s="2"/>
    </row>
    <row r="60" spans="1:25" x14ac:dyDescent="0.25">
      <c r="A60" s="2"/>
      <c r="B60" s="17">
        <f t="shared" si="0"/>
        <v>8</v>
      </c>
      <c r="C60" s="43" t="s">
        <v>394</v>
      </c>
      <c r="D60" s="44" t="s">
        <v>647</v>
      </c>
      <c r="E60" s="79">
        <f>1/3*E26*E23</f>
        <v>0</v>
      </c>
      <c r="F60" s="46"/>
      <c r="G60" s="47"/>
      <c r="H60" s="48" t="s">
        <v>503</v>
      </c>
      <c r="I60" s="46">
        <v>2</v>
      </c>
      <c r="J60" s="254" t="s">
        <v>593</v>
      </c>
      <c r="K60" s="255"/>
      <c r="L60" s="255"/>
      <c r="M60" s="255"/>
      <c r="N60" s="255"/>
      <c r="O60" s="255"/>
      <c r="P60" s="256"/>
      <c r="Q60" s="2"/>
      <c r="R60" s="2"/>
      <c r="S60" s="2"/>
      <c r="T60" s="2"/>
      <c r="U60" s="2"/>
      <c r="V60" s="2"/>
      <c r="W60" s="2"/>
      <c r="X60" s="2"/>
      <c r="Y60" s="2"/>
    </row>
    <row r="61" spans="1:25" x14ac:dyDescent="0.25">
      <c r="A61" s="2"/>
      <c r="B61" s="17">
        <f t="shared" si="0"/>
        <v>13</v>
      </c>
      <c r="C61" s="43" t="s">
        <v>395</v>
      </c>
      <c r="D61" s="44" t="s">
        <v>648</v>
      </c>
      <c r="E61" s="79">
        <f>E23*E26*1</f>
        <v>0</v>
      </c>
      <c r="F61" s="46"/>
      <c r="G61" s="47"/>
      <c r="H61" s="48" t="s">
        <v>503</v>
      </c>
      <c r="I61" s="46" t="s">
        <v>599</v>
      </c>
      <c r="J61" s="254" t="s">
        <v>594</v>
      </c>
      <c r="K61" s="255"/>
      <c r="L61" s="255"/>
      <c r="M61" s="255"/>
      <c r="N61" s="255"/>
      <c r="O61" s="255"/>
      <c r="P61" s="256"/>
      <c r="Q61" s="2"/>
      <c r="R61" s="2"/>
      <c r="S61" s="2"/>
      <c r="T61" s="2"/>
      <c r="U61" s="2"/>
      <c r="V61" s="2"/>
      <c r="W61" s="2"/>
      <c r="X61" s="2"/>
      <c r="Y61" s="2"/>
    </row>
    <row r="62" spans="1:25" x14ac:dyDescent="0.25">
      <c r="A62" s="2"/>
      <c r="B62" s="17">
        <f t="shared" si="0"/>
        <v>13</v>
      </c>
      <c r="C62" s="43" t="s">
        <v>396</v>
      </c>
      <c r="D62" s="44" t="s">
        <v>648</v>
      </c>
      <c r="E62" s="79">
        <f>E23*E26*1</f>
        <v>0</v>
      </c>
      <c r="F62" s="46"/>
      <c r="G62" s="47"/>
      <c r="H62" s="48" t="s">
        <v>503</v>
      </c>
      <c r="I62" s="46" t="s">
        <v>599</v>
      </c>
      <c r="J62" s="254" t="s">
        <v>595</v>
      </c>
      <c r="K62" s="255"/>
      <c r="L62" s="255"/>
      <c r="M62" s="255"/>
      <c r="N62" s="255"/>
      <c r="O62" s="255"/>
      <c r="P62" s="256"/>
      <c r="Q62" s="2"/>
      <c r="R62" s="2"/>
      <c r="S62" s="2"/>
      <c r="T62" s="2"/>
      <c r="U62" s="2"/>
      <c r="V62" s="2"/>
      <c r="W62" s="2"/>
      <c r="X62" s="2"/>
      <c r="Y62" s="2"/>
    </row>
    <row r="63" spans="1:25" x14ac:dyDescent="0.25">
      <c r="A63" s="2"/>
      <c r="B63" s="17">
        <f t="shared" si="0"/>
        <v>11</v>
      </c>
      <c r="C63" s="43" t="s">
        <v>397</v>
      </c>
      <c r="D63" s="44" t="s">
        <v>466</v>
      </c>
      <c r="E63" s="79">
        <f>E24*E27*1</f>
        <v>0</v>
      </c>
      <c r="F63" s="46"/>
      <c r="G63" s="47"/>
      <c r="H63" s="48" t="s">
        <v>503</v>
      </c>
      <c r="I63" s="46" t="s">
        <v>599</v>
      </c>
      <c r="J63" s="254" t="s">
        <v>596</v>
      </c>
      <c r="K63" s="255"/>
      <c r="L63" s="255"/>
      <c r="M63" s="255"/>
      <c r="N63" s="255"/>
      <c r="O63" s="255"/>
      <c r="P63" s="256"/>
      <c r="Q63" s="2"/>
      <c r="R63" s="2"/>
      <c r="S63" s="2"/>
      <c r="T63" s="2"/>
      <c r="U63" s="2"/>
      <c r="V63" s="2"/>
      <c r="W63" s="2"/>
      <c r="X63" s="2"/>
      <c r="Y63" s="2"/>
    </row>
    <row r="64" spans="1:25" x14ac:dyDescent="0.25">
      <c r="A64" s="2"/>
      <c r="B64" s="17">
        <f t="shared" si="0"/>
        <v>12</v>
      </c>
      <c r="C64" s="43" t="s">
        <v>398</v>
      </c>
      <c r="D64" s="44" t="s">
        <v>467</v>
      </c>
      <c r="E64" s="79">
        <f>E25*E27*1</f>
        <v>1</v>
      </c>
      <c r="F64" s="46"/>
      <c r="G64" s="47"/>
      <c r="H64" s="48" t="s">
        <v>503</v>
      </c>
      <c r="I64" s="46" t="s">
        <v>599</v>
      </c>
      <c r="J64" s="254" t="s">
        <v>597</v>
      </c>
      <c r="K64" s="255"/>
      <c r="L64" s="255"/>
      <c r="M64" s="255"/>
      <c r="N64" s="255"/>
      <c r="O64" s="255"/>
      <c r="P64" s="256"/>
      <c r="Q64" s="2"/>
      <c r="R64" s="2"/>
      <c r="S64" s="2"/>
      <c r="T64" s="2"/>
      <c r="U64" s="2"/>
      <c r="V64" s="2"/>
      <c r="W64" s="2"/>
      <c r="X64" s="2"/>
      <c r="Y64" s="2"/>
    </row>
    <row r="65" spans="1:25" x14ac:dyDescent="0.25">
      <c r="A65" s="2"/>
      <c r="B65" s="17">
        <f t="shared" si="0"/>
        <v>12</v>
      </c>
      <c r="C65" s="43" t="s">
        <v>399</v>
      </c>
      <c r="D65" s="44" t="s">
        <v>649</v>
      </c>
      <c r="E65" s="79">
        <f>E24*E26*1</f>
        <v>0</v>
      </c>
      <c r="F65" s="46"/>
      <c r="G65" s="47"/>
      <c r="H65" s="48" t="s">
        <v>503</v>
      </c>
      <c r="I65" s="46">
        <v>2</v>
      </c>
      <c r="J65" s="254" t="s">
        <v>598</v>
      </c>
      <c r="K65" s="255"/>
      <c r="L65" s="255"/>
      <c r="M65" s="255"/>
      <c r="N65" s="255"/>
      <c r="O65" s="255"/>
      <c r="P65" s="256"/>
      <c r="Q65" s="2"/>
      <c r="R65" s="2"/>
      <c r="S65" s="2"/>
      <c r="T65" s="2"/>
      <c r="U65" s="2"/>
      <c r="V65" s="2"/>
      <c r="W65" s="2"/>
      <c r="X65" s="2"/>
      <c r="Y65" s="2"/>
    </row>
    <row r="66" spans="1:25" x14ac:dyDescent="0.25">
      <c r="A66" s="2"/>
      <c r="B66" s="17">
        <f t="shared" si="0"/>
        <v>6</v>
      </c>
      <c r="C66" s="43" t="s">
        <v>400</v>
      </c>
      <c r="D66" s="44"/>
      <c r="E66" s="79">
        <f>'Calculations Sheet'!D112</f>
        <v>4.40095E-2</v>
      </c>
      <c r="F66" s="46"/>
      <c r="G66" s="47"/>
      <c r="H66" s="48" t="s">
        <v>352</v>
      </c>
      <c r="I66" s="46"/>
      <c r="J66" s="254" t="s">
        <v>430</v>
      </c>
      <c r="K66" s="255"/>
      <c r="L66" s="255"/>
      <c r="M66" s="255"/>
      <c r="N66" s="255"/>
      <c r="O66" s="255"/>
      <c r="P66" s="256"/>
      <c r="Q66" s="2"/>
      <c r="R66" s="2"/>
      <c r="S66" s="2"/>
      <c r="T66" s="2"/>
      <c r="U66" s="2"/>
      <c r="V66" s="2"/>
      <c r="W66" s="2"/>
      <c r="X66" s="2"/>
      <c r="Y66" s="2"/>
    </row>
    <row r="67" spans="1:25" x14ac:dyDescent="0.25">
      <c r="A67" s="2"/>
      <c r="B67" s="17">
        <f t="shared" si="0"/>
        <v>5</v>
      </c>
      <c r="C67" s="43" t="s">
        <v>407</v>
      </c>
      <c r="D67" s="44"/>
      <c r="E67" s="79">
        <f>'Calculations Sheet'!D113</f>
        <v>5.6995199999999996E-2</v>
      </c>
      <c r="F67" s="46"/>
      <c r="G67" s="47"/>
      <c r="H67" s="48" t="s">
        <v>352</v>
      </c>
      <c r="I67" s="46"/>
      <c r="J67" s="254" t="s">
        <v>431</v>
      </c>
      <c r="K67" s="255"/>
      <c r="L67" s="255"/>
      <c r="M67" s="255"/>
      <c r="N67" s="255"/>
      <c r="O67" s="255"/>
      <c r="P67" s="256"/>
      <c r="Q67" s="2"/>
      <c r="R67" s="2"/>
      <c r="S67" s="2"/>
      <c r="T67" s="2"/>
      <c r="U67" s="2"/>
      <c r="V67" s="2"/>
      <c r="W67" s="2"/>
      <c r="X67" s="2"/>
      <c r="Y67" s="2"/>
    </row>
    <row r="68" spans="1:25" x14ac:dyDescent="0.25">
      <c r="A68" s="2"/>
      <c r="B68" s="17">
        <f t="shared" si="0"/>
        <v>6</v>
      </c>
      <c r="C68" s="43" t="s">
        <v>484</v>
      </c>
      <c r="D68" s="44"/>
      <c r="E68" s="79">
        <f>'Calculations Sheet'!D115</f>
        <v>1.8015280000000002E-2</v>
      </c>
      <c r="F68" s="46"/>
      <c r="G68" s="47"/>
      <c r="H68" s="48" t="s">
        <v>352</v>
      </c>
      <c r="I68" s="46"/>
      <c r="J68" s="254" t="s">
        <v>432</v>
      </c>
      <c r="K68" s="255"/>
      <c r="L68" s="255"/>
      <c r="M68" s="255"/>
      <c r="N68" s="255"/>
      <c r="O68" s="255"/>
      <c r="P68" s="256"/>
      <c r="Q68" s="2"/>
      <c r="R68" s="2"/>
      <c r="S68" s="2"/>
      <c r="T68" s="2"/>
      <c r="U68" s="2"/>
      <c r="V68" s="2"/>
      <c r="W68" s="2"/>
      <c r="X68" s="2"/>
      <c r="Y68" s="2"/>
    </row>
    <row r="69" spans="1:25" x14ac:dyDescent="0.25">
      <c r="A69" s="2"/>
      <c r="B69" s="17">
        <f t="shared" si="0"/>
        <v>8</v>
      </c>
      <c r="C69" s="43" t="s">
        <v>408</v>
      </c>
      <c r="D69" s="44"/>
      <c r="E69" s="79">
        <f>'Calculations Sheet'!D116</f>
        <v>9.7995182E-2</v>
      </c>
      <c r="F69" s="46"/>
      <c r="G69" s="47"/>
      <c r="H69" s="48" t="s">
        <v>352</v>
      </c>
      <c r="I69" s="46"/>
      <c r="J69" s="254" t="s">
        <v>433</v>
      </c>
      <c r="K69" s="255"/>
      <c r="L69" s="255"/>
      <c r="M69" s="255"/>
      <c r="N69" s="255"/>
      <c r="O69" s="255"/>
      <c r="P69" s="256"/>
      <c r="Q69" s="2"/>
      <c r="R69" s="2"/>
      <c r="S69" s="2"/>
      <c r="T69" s="2"/>
      <c r="U69" s="2"/>
      <c r="V69" s="2"/>
      <c r="W69" s="2"/>
      <c r="X69" s="2"/>
      <c r="Y69" s="2"/>
    </row>
    <row r="70" spans="1:25" x14ac:dyDescent="0.25">
      <c r="A70" s="2"/>
      <c r="B70" s="17">
        <f t="shared" si="0"/>
        <v>9</v>
      </c>
      <c r="C70" s="43" t="s">
        <v>409</v>
      </c>
      <c r="D70" s="44"/>
      <c r="E70" s="79">
        <f>'Calculations Sheet'!D117</f>
        <v>0.16394066900000001</v>
      </c>
      <c r="F70" s="46"/>
      <c r="G70" s="47"/>
      <c r="H70" s="48" t="s">
        <v>352</v>
      </c>
      <c r="I70" s="46"/>
      <c r="J70" s="254" t="s">
        <v>434</v>
      </c>
      <c r="K70" s="255"/>
      <c r="L70" s="255"/>
      <c r="M70" s="255"/>
      <c r="N70" s="255"/>
      <c r="O70" s="255"/>
      <c r="P70" s="256"/>
      <c r="Q70" s="2"/>
      <c r="R70" s="2"/>
      <c r="S70" s="2"/>
      <c r="T70" s="2"/>
      <c r="U70" s="2"/>
      <c r="V70" s="2"/>
      <c r="W70" s="2"/>
      <c r="X70" s="2"/>
      <c r="Y70" s="2"/>
    </row>
    <row r="71" spans="1:25" x14ac:dyDescent="0.25">
      <c r="A71" s="2"/>
      <c r="B71" s="17">
        <f t="shared" si="0"/>
        <v>9</v>
      </c>
      <c r="C71" s="43" t="s">
        <v>410</v>
      </c>
      <c r="D71" s="44"/>
      <c r="E71" s="79">
        <f>'Calculations Sheet'!D118</f>
        <v>2.0006340000000001E-2</v>
      </c>
      <c r="F71" s="46"/>
      <c r="G71" s="47"/>
      <c r="H71" s="48" t="s">
        <v>352</v>
      </c>
      <c r="I71" s="46"/>
      <c r="J71" s="254" t="s">
        <v>435</v>
      </c>
      <c r="K71" s="255"/>
      <c r="L71" s="255"/>
      <c r="M71" s="255"/>
      <c r="N71" s="255"/>
      <c r="O71" s="255"/>
      <c r="P71" s="256"/>
      <c r="Q71" s="2"/>
      <c r="R71" s="2"/>
      <c r="S71" s="2"/>
      <c r="T71" s="2"/>
      <c r="U71" s="2"/>
      <c r="V71" s="2"/>
      <c r="W71" s="2"/>
      <c r="X71" s="2"/>
      <c r="Y71" s="2"/>
    </row>
    <row r="72" spans="1:25" x14ac:dyDescent="0.25">
      <c r="A72" s="2"/>
      <c r="B72" s="17">
        <f t="shared" si="0"/>
        <v>9</v>
      </c>
      <c r="C72" s="43" t="s">
        <v>539</v>
      </c>
      <c r="D72" s="44"/>
      <c r="E72" s="79">
        <f>'Calculations Sheet'!B120/1000</f>
        <v>0.14204213799999998</v>
      </c>
      <c r="F72" s="46"/>
      <c r="G72" s="47"/>
      <c r="H72" s="48" t="s">
        <v>352</v>
      </c>
      <c r="I72" s="46"/>
      <c r="J72" s="254" t="s">
        <v>600</v>
      </c>
      <c r="K72" s="255"/>
      <c r="L72" s="255"/>
      <c r="M72" s="255"/>
      <c r="N72" s="255"/>
      <c r="O72" s="255"/>
      <c r="P72" s="256"/>
      <c r="Q72" s="2"/>
      <c r="R72" s="2"/>
      <c r="S72" s="2"/>
      <c r="T72" s="2"/>
      <c r="U72" s="2"/>
      <c r="V72" s="2"/>
      <c r="W72" s="2"/>
      <c r="X72" s="2"/>
      <c r="Y72" s="2"/>
    </row>
    <row r="73" spans="1:25" x14ac:dyDescent="0.25">
      <c r="A73" s="2"/>
      <c r="B73" s="17">
        <f t="shared" si="0"/>
        <v>7</v>
      </c>
      <c r="C73" s="43" t="s">
        <v>411</v>
      </c>
      <c r="D73" s="44" t="s">
        <v>436</v>
      </c>
      <c r="E73" s="79">
        <f>$E$43*E59*E66</f>
        <v>0</v>
      </c>
      <c r="F73" s="46"/>
      <c r="G73" s="47"/>
      <c r="H73" s="48" t="s">
        <v>298</v>
      </c>
      <c r="I73" s="46">
        <v>2</v>
      </c>
      <c r="J73" s="254" t="s">
        <v>423</v>
      </c>
      <c r="K73" s="255"/>
      <c r="L73" s="255"/>
      <c r="M73" s="255"/>
      <c r="N73" s="255"/>
      <c r="O73" s="255"/>
      <c r="P73" s="256"/>
      <c r="Q73" s="2"/>
      <c r="R73" s="2"/>
      <c r="S73" s="2"/>
      <c r="T73" s="2"/>
      <c r="U73" s="2"/>
      <c r="V73" s="2"/>
      <c r="W73" s="2"/>
      <c r="X73" s="2"/>
      <c r="Y73" s="2"/>
    </row>
    <row r="74" spans="1:25" x14ac:dyDescent="0.25">
      <c r="A74" s="2"/>
      <c r="B74" s="17">
        <f t="shared" si="0"/>
        <v>8</v>
      </c>
      <c r="C74" s="43" t="s">
        <v>414</v>
      </c>
      <c r="D74" s="44" t="s">
        <v>522</v>
      </c>
      <c r="E74" s="79">
        <f>$E$43*E60</f>
        <v>0</v>
      </c>
      <c r="F74" s="46"/>
      <c r="G74" s="47"/>
      <c r="H74" s="48" t="s">
        <v>520</v>
      </c>
      <c r="I74" s="46">
        <v>2</v>
      </c>
      <c r="J74" s="254" t="s">
        <v>424</v>
      </c>
      <c r="K74" s="255"/>
      <c r="L74" s="255"/>
      <c r="M74" s="255"/>
      <c r="N74" s="255"/>
      <c r="O74" s="255"/>
      <c r="P74" s="256"/>
      <c r="Q74" s="2"/>
      <c r="R74" s="2"/>
      <c r="S74" s="2"/>
      <c r="T74" s="2"/>
      <c r="U74" s="2"/>
      <c r="V74" s="2"/>
      <c r="W74" s="2"/>
      <c r="X74" s="2"/>
      <c r="Y74" s="2"/>
    </row>
    <row r="75" spans="1:25" x14ac:dyDescent="0.25">
      <c r="A75" s="2"/>
      <c r="B75" s="17">
        <f t="shared" si="0"/>
        <v>7</v>
      </c>
      <c r="C75" s="43" t="s">
        <v>415</v>
      </c>
      <c r="D75" s="44" t="s">
        <v>485</v>
      </c>
      <c r="E75" s="79">
        <f>$E$43*E61*E50</f>
        <v>0</v>
      </c>
      <c r="F75" s="46"/>
      <c r="G75" s="47"/>
      <c r="H75" s="48" t="s">
        <v>298</v>
      </c>
      <c r="I75" s="46">
        <v>2</v>
      </c>
      <c r="J75" s="254" t="s">
        <v>425</v>
      </c>
      <c r="K75" s="255"/>
      <c r="L75" s="255"/>
      <c r="M75" s="255"/>
      <c r="N75" s="255"/>
      <c r="O75" s="255"/>
      <c r="P75" s="256"/>
      <c r="Q75" s="2"/>
      <c r="R75" s="2"/>
      <c r="S75" s="2"/>
      <c r="T75" s="2"/>
      <c r="U75" s="2"/>
      <c r="V75" s="2"/>
      <c r="W75" s="2"/>
      <c r="X75" s="2"/>
      <c r="Y75" s="2"/>
    </row>
    <row r="76" spans="1:25" ht="28.5" customHeight="1" x14ac:dyDescent="0.25">
      <c r="A76" s="2"/>
      <c r="B76" s="17">
        <f t="shared" si="0"/>
        <v>7</v>
      </c>
      <c r="C76" s="43" t="s">
        <v>416</v>
      </c>
      <c r="D76" s="44" t="s">
        <v>614</v>
      </c>
      <c r="E76" s="79">
        <f>$E$43*E62*E68+E56*(E62)</f>
        <v>0</v>
      </c>
      <c r="F76" s="46"/>
      <c r="G76" s="47"/>
      <c r="H76" s="48" t="s">
        <v>298</v>
      </c>
      <c r="I76" s="46">
        <v>2</v>
      </c>
      <c r="J76" s="254" t="s">
        <v>426</v>
      </c>
      <c r="K76" s="255"/>
      <c r="L76" s="255"/>
      <c r="M76" s="255"/>
      <c r="N76" s="255"/>
      <c r="O76" s="255"/>
      <c r="P76" s="256"/>
      <c r="Q76" s="2"/>
      <c r="R76" s="2"/>
      <c r="S76" s="2"/>
      <c r="T76" s="2"/>
      <c r="U76" s="2"/>
      <c r="V76" s="2"/>
      <c r="W76" s="2"/>
      <c r="X76" s="2"/>
      <c r="Y76" s="2"/>
    </row>
    <row r="77" spans="1:25" ht="26.25" x14ac:dyDescent="0.25">
      <c r="A77" s="2"/>
      <c r="B77" s="17">
        <f t="shared" si="0"/>
        <v>9</v>
      </c>
      <c r="C77" s="43" t="s">
        <v>418</v>
      </c>
      <c r="D77" s="44" t="s">
        <v>615</v>
      </c>
      <c r="E77" s="79">
        <f>($E$43*E63*E69+E56)*E24*E27</f>
        <v>0</v>
      </c>
      <c r="F77" s="46"/>
      <c r="G77" s="47"/>
      <c r="H77" s="48" t="s">
        <v>298</v>
      </c>
      <c r="I77" s="46">
        <v>3</v>
      </c>
      <c r="J77" s="254" t="s">
        <v>427</v>
      </c>
      <c r="K77" s="255"/>
      <c r="L77" s="255"/>
      <c r="M77" s="255"/>
      <c r="N77" s="255"/>
      <c r="O77" s="255"/>
      <c r="P77" s="256"/>
      <c r="Q77" s="2"/>
      <c r="R77" s="2"/>
      <c r="S77" s="2"/>
      <c r="T77" s="2"/>
      <c r="U77" s="2"/>
      <c r="V77" s="2"/>
      <c r="W77" s="2"/>
      <c r="X77" s="2"/>
      <c r="Y77" s="2"/>
    </row>
    <row r="78" spans="1:25" x14ac:dyDescent="0.25">
      <c r="A78" s="2"/>
      <c r="B78" s="17">
        <f t="shared" si="0"/>
        <v>10</v>
      </c>
      <c r="C78" s="43" t="s">
        <v>417</v>
      </c>
      <c r="D78" s="44" t="s">
        <v>437</v>
      </c>
      <c r="E78" s="79">
        <f>$E$43*E64*E70</f>
        <v>0.65259687424990875</v>
      </c>
      <c r="F78" s="46"/>
      <c r="G78" s="47"/>
      <c r="H78" s="48" t="s">
        <v>298</v>
      </c>
      <c r="I78" s="46">
        <v>3</v>
      </c>
      <c r="J78" s="254" t="s">
        <v>428</v>
      </c>
      <c r="K78" s="255"/>
      <c r="L78" s="255"/>
      <c r="M78" s="255"/>
      <c r="N78" s="255"/>
      <c r="O78" s="255"/>
      <c r="P78" s="256"/>
      <c r="Q78" s="2"/>
      <c r="R78" s="2"/>
      <c r="S78" s="2"/>
      <c r="T78" s="2"/>
      <c r="U78" s="2"/>
      <c r="V78" s="2"/>
      <c r="W78" s="2"/>
      <c r="X78" s="2"/>
      <c r="Y78" s="2"/>
    </row>
    <row r="79" spans="1:25" x14ac:dyDescent="0.25">
      <c r="A79" s="2"/>
      <c r="B79" s="17">
        <f t="shared" si="0"/>
        <v>6</v>
      </c>
      <c r="C79" s="43" t="s">
        <v>419</v>
      </c>
      <c r="D79" s="44" t="s">
        <v>438</v>
      </c>
      <c r="E79" s="79">
        <f>$E$43*E65*E71</f>
        <v>0</v>
      </c>
      <c r="F79" s="46"/>
      <c r="G79" s="47"/>
      <c r="H79" s="48" t="s">
        <v>298</v>
      </c>
      <c r="I79" s="46">
        <v>2</v>
      </c>
      <c r="J79" s="254" t="s">
        <v>429</v>
      </c>
      <c r="K79" s="255"/>
      <c r="L79" s="255"/>
      <c r="M79" s="255"/>
      <c r="N79" s="255"/>
      <c r="O79" s="255"/>
      <c r="P79" s="256"/>
      <c r="Q79" s="2"/>
      <c r="R79" s="2"/>
      <c r="S79" s="2"/>
      <c r="T79" s="2"/>
      <c r="U79" s="2"/>
      <c r="V79" s="2"/>
      <c r="W79" s="2"/>
      <c r="X79" s="2"/>
      <c r="Y79" s="2"/>
    </row>
    <row r="80" spans="1:25" x14ac:dyDescent="0.25">
      <c r="A80" s="2"/>
      <c r="B80" s="17">
        <f t="shared" si="0"/>
        <v>11</v>
      </c>
      <c r="C80" s="43" t="s">
        <v>472</v>
      </c>
      <c r="D80" s="44" t="s">
        <v>473</v>
      </c>
      <c r="E80" s="79">
        <f>E43/2*E24</f>
        <v>0</v>
      </c>
      <c r="F80" s="46"/>
      <c r="G80" s="47"/>
      <c r="H80" s="48" t="s">
        <v>503</v>
      </c>
      <c r="I80" s="46" t="s">
        <v>599</v>
      </c>
      <c r="J80" s="254" t="s">
        <v>620</v>
      </c>
      <c r="K80" s="255"/>
      <c r="L80" s="255"/>
      <c r="M80" s="255"/>
      <c r="N80" s="255"/>
      <c r="O80" s="255"/>
      <c r="P80" s="256"/>
      <c r="Q80" s="2"/>
      <c r="R80" s="2"/>
      <c r="S80" s="2"/>
      <c r="T80" s="2"/>
      <c r="U80" s="2"/>
      <c r="V80" s="2"/>
      <c r="W80" s="2"/>
      <c r="X80" s="2"/>
      <c r="Y80" s="2"/>
    </row>
    <row r="81" spans="1:25" x14ac:dyDescent="0.25">
      <c r="A81" s="2"/>
      <c r="B81" s="17">
        <f t="shared" si="0"/>
        <v>13</v>
      </c>
      <c r="C81" s="43" t="s">
        <v>476</v>
      </c>
      <c r="D81" s="44"/>
      <c r="E81" s="197">
        <v>6</v>
      </c>
      <c r="F81" s="46"/>
      <c r="G81" s="47"/>
      <c r="H81" s="48" t="s">
        <v>503</v>
      </c>
      <c r="I81" s="46" t="s">
        <v>599</v>
      </c>
      <c r="J81" s="254" t="s">
        <v>502</v>
      </c>
      <c r="K81" s="255"/>
      <c r="L81" s="255"/>
      <c r="M81" s="255"/>
      <c r="N81" s="255"/>
      <c r="O81" s="255"/>
      <c r="P81" s="256"/>
      <c r="Q81" s="2"/>
      <c r="R81" s="2"/>
      <c r="S81" s="2"/>
      <c r="T81" s="2"/>
      <c r="U81" s="2"/>
      <c r="V81" s="2"/>
      <c r="W81" s="2"/>
      <c r="X81" s="2"/>
      <c r="Y81" s="2"/>
    </row>
    <row r="82" spans="1:25" x14ac:dyDescent="0.25">
      <c r="A82" s="2"/>
      <c r="B82" s="17">
        <f t="shared" si="0"/>
        <v>7</v>
      </c>
      <c r="C82" s="43" t="s">
        <v>475</v>
      </c>
      <c r="D82" s="44" t="str">
        <f>"(NaCl_in_ratio*re2so43_mol)*"&amp;'Calculations Sheet'!B119&amp;"/1000"</f>
        <v>(NaCl_in_ratio*re2so43_mol)*58.442769/1000</v>
      </c>
      <c r="E82" s="79">
        <f>(E81*$E$80)*'Calculations Sheet'!B119/1000</f>
        <v>0</v>
      </c>
      <c r="F82" s="46"/>
      <c r="G82" s="47"/>
      <c r="H82" s="48" t="s">
        <v>298</v>
      </c>
      <c r="I82" s="46" t="s">
        <v>599</v>
      </c>
      <c r="J82" s="254" t="s">
        <v>504</v>
      </c>
      <c r="K82" s="255"/>
      <c r="L82" s="255"/>
      <c r="M82" s="255"/>
      <c r="N82" s="255"/>
      <c r="O82" s="255"/>
      <c r="P82" s="256"/>
      <c r="Q82" s="2"/>
      <c r="R82" s="2"/>
      <c r="S82" s="2"/>
      <c r="T82" s="2"/>
      <c r="U82" s="2"/>
      <c r="V82" s="2"/>
      <c r="W82" s="2"/>
      <c r="X82" s="2"/>
      <c r="Y82" s="2"/>
    </row>
    <row r="83" spans="1:25" x14ac:dyDescent="0.25">
      <c r="A83" s="2"/>
      <c r="B83" s="17">
        <f t="shared" si="0"/>
        <v>12</v>
      </c>
      <c r="C83" s="43" t="s">
        <v>542</v>
      </c>
      <c r="D83" s="44"/>
      <c r="E83" s="79">
        <v>3</v>
      </c>
      <c r="F83" s="46"/>
      <c r="G83" s="47"/>
      <c r="H83" s="48" t="s">
        <v>503</v>
      </c>
      <c r="I83" s="46" t="s">
        <v>599</v>
      </c>
      <c r="J83" s="254" t="s">
        <v>601</v>
      </c>
      <c r="K83" s="255"/>
      <c r="L83" s="255"/>
      <c r="M83" s="255"/>
      <c r="N83" s="255"/>
      <c r="O83" s="255"/>
      <c r="P83" s="256"/>
      <c r="Q83" s="2"/>
      <c r="R83" s="2"/>
      <c r="S83" s="2"/>
      <c r="T83" s="2"/>
      <c r="U83" s="2"/>
      <c r="V83" s="2"/>
      <c r="W83" s="2"/>
      <c r="X83" s="2"/>
      <c r="Y83" s="2"/>
    </row>
    <row r="84" spans="1:25" x14ac:dyDescent="0.25">
      <c r="A84" s="2"/>
      <c r="B84" s="17">
        <f t="shared" si="0"/>
        <v>10</v>
      </c>
      <c r="C84" s="43" t="s">
        <v>541</v>
      </c>
      <c r="D84" s="44" t="s">
        <v>543</v>
      </c>
      <c r="E84" s="79">
        <f>E83*E80*E51</f>
        <v>0</v>
      </c>
      <c r="F84" s="46"/>
      <c r="G84" s="47"/>
      <c r="H84" s="48" t="s">
        <v>298</v>
      </c>
      <c r="I84" s="46" t="s">
        <v>599</v>
      </c>
      <c r="J84" s="254" t="s">
        <v>602</v>
      </c>
      <c r="K84" s="255"/>
      <c r="L84" s="255"/>
      <c r="M84" s="255"/>
      <c r="N84" s="255"/>
      <c r="O84" s="255"/>
      <c r="P84" s="256"/>
      <c r="Q84" s="2"/>
      <c r="R84" s="2"/>
      <c r="S84" s="2"/>
      <c r="T84" s="2"/>
      <c r="U84" s="2"/>
      <c r="V84" s="2"/>
      <c r="W84" s="2"/>
      <c r="X84" s="2"/>
      <c r="Y84" s="2"/>
    </row>
    <row r="85" spans="1:25" x14ac:dyDescent="0.25">
      <c r="A85" s="2"/>
      <c r="B85" s="17">
        <f t="shared" si="0"/>
        <v>10</v>
      </c>
      <c r="C85" s="43" t="s">
        <v>482</v>
      </c>
      <c r="D85" s="44"/>
      <c r="E85" s="197">
        <v>12</v>
      </c>
      <c r="F85" s="46"/>
      <c r="G85" s="47"/>
      <c r="H85" s="48" t="s">
        <v>503</v>
      </c>
      <c r="I85" s="46" t="s">
        <v>599</v>
      </c>
      <c r="J85" s="254" t="s">
        <v>506</v>
      </c>
      <c r="K85" s="255"/>
      <c r="L85" s="255"/>
      <c r="M85" s="255"/>
      <c r="N85" s="255"/>
      <c r="O85" s="255"/>
      <c r="P85" s="256"/>
      <c r="Q85" s="2"/>
      <c r="R85" s="2"/>
      <c r="S85" s="2"/>
      <c r="T85" s="2"/>
      <c r="U85" s="2"/>
      <c r="V85" s="2"/>
      <c r="W85" s="2"/>
      <c r="X85" s="2"/>
      <c r="Y85" s="2"/>
    </row>
    <row r="86" spans="1:25" x14ac:dyDescent="0.25">
      <c r="A86" s="2"/>
      <c r="B86" s="17">
        <f t="shared" si="0"/>
        <v>8</v>
      </c>
      <c r="C86" s="43" t="s">
        <v>483</v>
      </c>
      <c r="D86" s="44" t="s">
        <v>488</v>
      </c>
      <c r="E86" s="79">
        <f>(E85*$E$80)*E68</f>
        <v>0</v>
      </c>
      <c r="F86" s="230"/>
      <c r="G86" s="47"/>
      <c r="H86" s="48" t="s">
        <v>298</v>
      </c>
      <c r="I86" s="46" t="s">
        <v>599</v>
      </c>
      <c r="J86" s="254" t="s">
        <v>507</v>
      </c>
      <c r="K86" s="255"/>
      <c r="L86" s="255"/>
      <c r="M86" s="255"/>
      <c r="N86" s="255"/>
      <c r="O86" s="255"/>
      <c r="P86" s="256"/>
      <c r="Q86" s="2"/>
      <c r="R86" s="2"/>
      <c r="S86" s="2"/>
      <c r="T86" s="2"/>
      <c r="U86" s="2"/>
      <c r="V86" s="2"/>
      <c r="W86" s="2"/>
      <c r="X86" s="2"/>
      <c r="Y86" s="2"/>
    </row>
    <row r="87" spans="1:25" x14ac:dyDescent="0.25">
      <c r="A87" s="2"/>
      <c r="B87" s="17">
        <f t="shared" si="0"/>
        <v>15</v>
      </c>
      <c r="C87" s="43" t="s">
        <v>477</v>
      </c>
      <c r="D87" s="44"/>
      <c r="E87" s="197">
        <v>6</v>
      </c>
      <c r="F87" s="230"/>
      <c r="G87" s="47"/>
      <c r="H87" s="48" t="s">
        <v>503</v>
      </c>
      <c r="I87" s="46" t="s">
        <v>599</v>
      </c>
      <c r="J87" s="254" t="s">
        <v>622</v>
      </c>
      <c r="K87" s="255"/>
      <c r="L87" s="255"/>
      <c r="M87" s="255"/>
      <c r="N87" s="255"/>
      <c r="O87" s="255"/>
      <c r="P87" s="256"/>
      <c r="Q87" s="2"/>
      <c r="R87" s="2"/>
      <c r="S87" s="2"/>
      <c r="T87" s="2"/>
      <c r="U87" s="2"/>
      <c r="V87" s="2"/>
      <c r="W87" s="2"/>
      <c r="X87" s="2"/>
      <c r="Y87" s="2"/>
    </row>
    <row r="88" spans="1:25" x14ac:dyDescent="0.25">
      <c r="A88" s="2"/>
      <c r="B88" s="17">
        <f t="shared" si="0"/>
        <v>9</v>
      </c>
      <c r="C88" s="43" t="s">
        <v>480</v>
      </c>
      <c r="D88" s="44" t="s">
        <v>487</v>
      </c>
      <c r="E88" s="79">
        <f>(E87*$E$80)*E50</f>
        <v>0</v>
      </c>
      <c r="F88" s="46"/>
      <c r="G88" s="47"/>
      <c r="H88" s="48" t="s">
        <v>298</v>
      </c>
      <c r="I88" s="46" t="s">
        <v>599</v>
      </c>
      <c r="J88" s="254" t="s">
        <v>621</v>
      </c>
      <c r="K88" s="255"/>
      <c r="L88" s="255"/>
      <c r="M88" s="255"/>
      <c r="N88" s="255"/>
      <c r="O88" s="255"/>
      <c r="P88" s="256"/>
      <c r="Q88" s="2"/>
      <c r="R88" s="2"/>
      <c r="S88" s="2"/>
      <c r="T88" s="2"/>
      <c r="U88" s="2"/>
      <c r="V88" s="2"/>
      <c r="W88" s="2"/>
      <c r="X88" s="2"/>
      <c r="Y88" s="2"/>
    </row>
    <row r="89" spans="1:25" x14ac:dyDescent="0.25">
      <c r="A89" s="2"/>
      <c r="B89" s="17">
        <f t="shared" si="0"/>
        <v>15</v>
      </c>
      <c r="C89" s="43" t="s">
        <v>479</v>
      </c>
      <c r="D89" s="44"/>
      <c r="E89" s="197">
        <v>6</v>
      </c>
      <c r="F89" s="46"/>
      <c r="G89" s="47"/>
      <c r="H89" s="48" t="s">
        <v>503</v>
      </c>
      <c r="I89" s="46" t="s">
        <v>599</v>
      </c>
      <c r="J89" s="254" t="s">
        <v>508</v>
      </c>
      <c r="K89" s="255"/>
      <c r="L89" s="255"/>
      <c r="M89" s="255"/>
      <c r="N89" s="255"/>
      <c r="O89" s="255"/>
      <c r="P89" s="256"/>
      <c r="Q89" s="2"/>
      <c r="R89" s="2"/>
      <c r="S89" s="2"/>
      <c r="T89" s="2"/>
      <c r="U89" s="2"/>
      <c r="V89" s="2"/>
      <c r="W89" s="2"/>
      <c r="X89" s="2"/>
      <c r="Y89" s="2"/>
    </row>
    <row r="90" spans="1:25" x14ac:dyDescent="0.25">
      <c r="A90" s="2"/>
      <c r="B90" s="17">
        <f t="shared" si="0"/>
        <v>9</v>
      </c>
      <c r="C90" s="43" t="s">
        <v>478</v>
      </c>
      <c r="D90" s="44" t="s">
        <v>613</v>
      </c>
      <c r="E90" s="79">
        <f>(E89*$E$80+E74)*E52</f>
        <v>0</v>
      </c>
      <c r="F90" s="46"/>
      <c r="G90" s="47"/>
      <c r="H90" s="48" t="s">
        <v>298</v>
      </c>
      <c r="I90" s="46" t="s">
        <v>599</v>
      </c>
      <c r="J90" s="254" t="s">
        <v>509</v>
      </c>
      <c r="K90" s="255"/>
      <c r="L90" s="255"/>
      <c r="M90" s="255"/>
      <c r="N90" s="255"/>
      <c r="O90" s="255"/>
      <c r="P90" s="256"/>
      <c r="Q90" s="2"/>
      <c r="R90" s="2"/>
      <c r="S90" s="2"/>
      <c r="T90" s="2"/>
      <c r="U90" s="2"/>
      <c r="V90" s="2"/>
      <c r="W90" s="2"/>
      <c r="X90" s="2"/>
      <c r="Y90" s="2"/>
    </row>
    <row r="91" spans="1:25" x14ac:dyDescent="0.25">
      <c r="A91" s="2"/>
      <c r="B91" s="17">
        <f t="shared" si="0"/>
        <v>11</v>
      </c>
      <c r="C91" s="43" t="s">
        <v>481</v>
      </c>
      <c r="D91" s="44"/>
      <c r="E91" s="197">
        <v>12</v>
      </c>
      <c r="F91" s="46"/>
      <c r="G91" s="47"/>
      <c r="H91" s="48" t="s">
        <v>503</v>
      </c>
      <c r="I91" s="46" t="s">
        <v>599</v>
      </c>
      <c r="J91" s="254" t="s">
        <v>510</v>
      </c>
      <c r="K91" s="255"/>
      <c r="L91" s="255"/>
      <c r="M91" s="255"/>
      <c r="N91" s="255"/>
      <c r="O91" s="255"/>
      <c r="P91" s="256"/>
      <c r="Q91" s="2"/>
      <c r="R91" s="2"/>
      <c r="S91" s="2"/>
      <c r="T91" s="2"/>
      <c r="U91" s="2"/>
      <c r="V91" s="2"/>
      <c r="W91" s="2"/>
      <c r="X91" s="2"/>
      <c r="Y91" s="2"/>
    </row>
    <row r="92" spans="1:25" x14ac:dyDescent="0.25">
      <c r="A92" s="2"/>
      <c r="B92" s="17">
        <f t="shared" si="0"/>
        <v>9</v>
      </c>
      <c r="C92" s="43" t="s">
        <v>486</v>
      </c>
      <c r="D92" s="44" t="s">
        <v>491</v>
      </c>
      <c r="E92" s="79">
        <f>(E91*$E$80)*E68</f>
        <v>0</v>
      </c>
      <c r="F92" s="46"/>
      <c r="G92" s="47"/>
      <c r="H92" s="48" t="s">
        <v>298</v>
      </c>
      <c r="I92" s="46" t="s">
        <v>599</v>
      </c>
      <c r="J92" s="254" t="s">
        <v>511</v>
      </c>
      <c r="K92" s="255"/>
      <c r="L92" s="255"/>
      <c r="M92" s="255"/>
      <c r="N92" s="255"/>
      <c r="O92" s="255"/>
      <c r="P92" s="256"/>
      <c r="Q92" s="2"/>
      <c r="R92" s="2"/>
      <c r="S92" s="2"/>
      <c r="T92" s="2"/>
      <c r="U92" s="2"/>
      <c r="V92" s="2"/>
      <c r="W92" s="2"/>
      <c r="X92" s="2"/>
      <c r="Y92" s="2"/>
    </row>
    <row r="93" spans="1:25" x14ac:dyDescent="0.25">
      <c r="A93" s="2"/>
      <c r="B93" s="17">
        <f t="shared" si="0"/>
        <v>6</v>
      </c>
      <c r="C93" s="43" t="s">
        <v>559</v>
      </c>
      <c r="D93" s="44"/>
      <c r="E93" s="79">
        <f>'Calculations Sheet'!B121/1000</f>
        <v>4.1988168999999999E-2</v>
      </c>
      <c r="F93" s="46"/>
      <c r="G93" s="47"/>
      <c r="H93" s="48" t="s">
        <v>352</v>
      </c>
      <c r="I93" s="46" t="s">
        <v>599</v>
      </c>
      <c r="J93" s="254" t="s">
        <v>603</v>
      </c>
      <c r="K93" s="255"/>
      <c r="L93" s="255"/>
      <c r="M93" s="255"/>
      <c r="N93" s="255"/>
      <c r="O93" s="255"/>
      <c r="P93" s="256"/>
      <c r="Q93" s="2"/>
      <c r="R93" s="2"/>
      <c r="S93" s="2"/>
      <c r="T93" s="2"/>
      <c r="U93" s="2"/>
      <c r="V93" s="2"/>
      <c r="W93" s="2"/>
      <c r="X93" s="2"/>
      <c r="Y93" s="2"/>
    </row>
    <row r="94" spans="1:25" x14ac:dyDescent="0.25">
      <c r="A94" s="2"/>
      <c r="B94" s="17">
        <f t="shared" si="0"/>
        <v>9</v>
      </c>
      <c r="C94" s="43" t="s">
        <v>557</v>
      </c>
      <c r="D94" s="44"/>
      <c r="E94" s="79">
        <v>3</v>
      </c>
      <c r="F94" s="46"/>
      <c r="G94" s="47"/>
      <c r="H94" s="48" t="s">
        <v>503</v>
      </c>
      <c r="I94" s="46" t="s">
        <v>599</v>
      </c>
      <c r="J94" s="254" t="s">
        <v>604</v>
      </c>
      <c r="K94" s="255"/>
      <c r="L94" s="255"/>
      <c r="M94" s="255"/>
      <c r="N94" s="255"/>
      <c r="O94" s="255"/>
      <c r="P94" s="256"/>
      <c r="Q94" s="2"/>
      <c r="R94" s="2"/>
      <c r="S94" s="2"/>
      <c r="T94" s="2"/>
      <c r="U94" s="2"/>
      <c r="V94" s="2"/>
      <c r="W94" s="2"/>
      <c r="X94" s="2"/>
      <c r="Y94" s="2"/>
    </row>
    <row r="95" spans="1:25" x14ac:dyDescent="0.25">
      <c r="A95" s="2"/>
      <c r="B95" s="17">
        <f t="shared" si="0"/>
        <v>7</v>
      </c>
      <c r="C95" s="43" t="s">
        <v>558</v>
      </c>
      <c r="D95" s="44" t="s">
        <v>560</v>
      </c>
      <c r="E95" s="79">
        <f>E94*E74*E93</f>
        <v>0</v>
      </c>
      <c r="F95" s="46"/>
      <c r="G95" s="47"/>
      <c r="H95" s="48" t="s">
        <v>298</v>
      </c>
      <c r="I95" s="46" t="s">
        <v>599</v>
      </c>
      <c r="J95" s="254" t="s">
        <v>605</v>
      </c>
      <c r="K95" s="255"/>
      <c r="L95" s="255"/>
      <c r="M95" s="255"/>
      <c r="N95" s="255"/>
      <c r="O95" s="255"/>
      <c r="P95" s="256"/>
      <c r="Q95" s="2"/>
      <c r="R95" s="2"/>
      <c r="S95" s="2"/>
      <c r="T95" s="2"/>
      <c r="U95" s="2"/>
      <c r="V95" s="2"/>
      <c r="W95" s="2"/>
      <c r="X95" s="2"/>
      <c r="Y95" s="2"/>
    </row>
    <row r="96" spans="1:25" x14ac:dyDescent="0.25">
      <c r="A96" s="2"/>
      <c r="B96" s="17">
        <f t="shared" si="0"/>
        <v>12</v>
      </c>
      <c r="C96" s="43" t="s">
        <v>490</v>
      </c>
      <c r="D96" s="44"/>
      <c r="E96" s="197">
        <v>6</v>
      </c>
      <c r="F96" s="46"/>
      <c r="G96" s="47"/>
      <c r="H96" s="48" t="s">
        <v>503</v>
      </c>
      <c r="I96" s="46" t="s">
        <v>599</v>
      </c>
      <c r="J96" s="254" t="s">
        <v>512</v>
      </c>
      <c r="K96" s="255"/>
      <c r="L96" s="255"/>
      <c r="M96" s="255"/>
      <c r="N96" s="255"/>
      <c r="O96" s="255"/>
      <c r="P96" s="256"/>
      <c r="Q96" s="2"/>
      <c r="R96" s="2"/>
      <c r="S96" s="2"/>
      <c r="T96" s="2"/>
      <c r="U96" s="2"/>
      <c r="V96" s="2"/>
      <c r="W96" s="2"/>
      <c r="X96" s="2"/>
      <c r="Y96" s="2"/>
    </row>
    <row r="97" spans="1:25" x14ac:dyDescent="0.25">
      <c r="A97" s="2"/>
      <c r="B97" s="17">
        <f t="shared" si="0"/>
        <v>10</v>
      </c>
      <c r="C97" s="43" t="s">
        <v>489</v>
      </c>
      <c r="D97" s="44" t="s">
        <v>612</v>
      </c>
      <c r="E97" s="79">
        <f>(E96*$E$80)*E72</f>
        <v>0</v>
      </c>
      <c r="F97" s="46"/>
      <c r="G97" s="47"/>
      <c r="H97" s="48" t="s">
        <v>298</v>
      </c>
      <c r="I97" s="46" t="s">
        <v>599</v>
      </c>
      <c r="J97" s="254" t="s">
        <v>513</v>
      </c>
      <c r="K97" s="255"/>
      <c r="L97" s="255"/>
      <c r="M97" s="255"/>
      <c r="N97" s="255"/>
      <c r="O97" s="255"/>
      <c r="P97" s="256"/>
      <c r="Q97" s="2"/>
      <c r="R97" s="2"/>
      <c r="S97" s="2"/>
      <c r="T97" s="2"/>
      <c r="U97" s="2"/>
      <c r="V97" s="2"/>
      <c r="W97" s="2"/>
      <c r="X97" s="2"/>
      <c r="Y97" s="2"/>
    </row>
    <row r="98" spans="1:25" x14ac:dyDescent="0.25">
      <c r="A98" s="2"/>
      <c r="B98" s="17">
        <f t="shared" si="0"/>
        <v>5</v>
      </c>
      <c r="C98" s="43" t="s">
        <v>492</v>
      </c>
      <c r="D98" s="44" t="s">
        <v>525</v>
      </c>
      <c r="E98" s="79">
        <f>2*E80+E43*E25</f>
        <v>3.9806893446915765</v>
      </c>
      <c r="F98" s="46"/>
      <c r="G98" s="47"/>
      <c r="H98" s="48" t="s">
        <v>313</v>
      </c>
      <c r="I98" s="46" t="s">
        <v>599</v>
      </c>
      <c r="J98" s="254" t="s">
        <v>514</v>
      </c>
      <c r="K98" s="255"/>
      <c r="L98" s="255"/>
      <c r="M98" s="255"/>
      <c r="N98" s="255"/>
      <c r="O98" s="255"/>
      <c r="P98" s="256"/>
      <c r="Q98" s="2"/>
      <c r="R98" s="2"/>
      <c r="S98" s="2"/>
      <c r="T98" s="2"/>
      <c r="U98" s="2"/>
      <c r="V98" s="2"/>
      <c r="W98" s="2"/>
      <c r="X98" s="2"/>
      <c r="Y98" s="2"/>
    </row>
    <row r="99" spans="1:25" x14ac:dyDescent="0.25">
      <c r="A99" s="2"/>
      <c r="B99" s="17">
        <f t="shared" si="0"/>
        <v>10</v>
      </c>
      <c r="C99" s="43" t="s">
        <v>523</v>
      </c>
      <c r="D99" s="44"/>
      <c r="E99" s="197">
        <v>3</v>
      </c>
      <c r="F99" s="46"/>
      <c r="G99" s="47"/>
      <c r="H99" s="48" t="s">
        <v>503</v>
      </c>
      <c r="I99" s="46" t="s">
        <v>599</v>
      </c>
      <c r="J99" s="254" t="s">
        <v>515</v>
      </c>
      <c r="K99" s="255"/>
      <c r="L99" s="255"/>
      <c r="M99" s="255"/>
      <c r="N99" s="255"/>
      <c r="O99" s="255"/>
      <c r="P99" s="256"/>
      <c r="Q99" s="2"/>
      <c r="R99" s="2"/>
      <c r="S99" s="2"/>
      <c r="T99" s="2"/>
      <c r="U99" s="2"/>
      <c r="V99" s="2"/>
      <c r="W99" s="2"/>
      <c r="X99" s="2"/>
      <c r="Y99" s="2"/>
    </row>
    <row r="100" spans="1:25" x14ac:dyDescent="0.25">
      <c r="A100" s="2"/>
      <c r="B100" s="17">
        <f t="shared" si="0"/>
        <v>8</v>
      </c>
      <c r="C100" s="43" t="s">
        <v>524</v>
      </c>
      <c r="D100" s="44" t="s">
        <v>611</v>
      </c>
      <c r="E100" s="79">
        <f>E99*(E74+E98)*E50</f>
        <v>0.43541902606631672</v>
      </c>
      <c r="F100" s="46"/>
      <c r="G100" s="47"/>
      <c r="H100" s="48" t="s">
        <v>298</v>
      </c>
      <c r="I100" s="46" t="s">
        <v>599</v>
      </c>
      <c r="J100" s="254" t="s">
        <v>652</v>
      </c>
      <c r="K100" s="255"/>
      <c r="L100" s="255"/>
      <c r="M100" s="255"/>
      <c r="N100" s="255"/>
      <c r="O100" s="255"/>
      <c r="P100" s="256"/>
      <c r="Q100" s="2"/>
      <c r="R100" s="2"/>
      <c r="S100" s="2"/>
      <c r="T100" s="2"/>
      <c r="U100" s="2"/>
      <c r="V100" s="2"/>
      <c r="W100" s="2"/>
      <c r="X100" s="2"/>
      <c r="Y100" s="2"/>
    </row>
    <row r="101" spans="1:25" x14ac:dyDescent="0.25">
      <c r="A101" s="2"/>
      <c r="B101" s="17">
        <f t="shared" si="0"/>
        <v>11</v>
      </c>
      <c r="C101" s="43" t="s">
        <v>493</v>
      </c>
      <c r="D101" s="44"/>
      <c r="E101" s="197">
        <v>3</v>
      </c>
      <c r="F101" s="46"/>
      <c r="G101" s="47"/>
      <c r="H101" s="48" t="s">
        <v>503</v>
      </c>
      <c r="I101" s="46" t="s">
        <v>599</v>
      </c>
      <c r="J101" s="254" t="s">
        <v>516</v>
      </c>
      <c r="K101" s="255"/>
      <c r="L101" s="255"/>
      <c r="M101" s="255"/>
      <c r="N101" s="255"/>
      <c r="O101" s="255"/>
      <c r="P101" s="256"/>
      <c r="Q101" s="2"/>
      <c r="R101" s="2"/>
      <c r="S101" s="2"/>
      <c r="T101" s="2"/>
      <c r="U101" s="2"/>
      <c r="V101" s="2"/>
      <c r="W101" s="2"/>
      <c r="X101" s="2"/>
      <c r="Y101" s="2"/>
    </row>
    <row r="102" spans="1:25" ht="26.25" x14ac:dyDescent="0.25">
      <c r="A102" s="2"/>
      <c r="B102" s="17">
        <f t="shared" si="0"/>
        <v>9</v>
      </c>
      <c r="C102" s="43" t="s">
        <v>494</v>
      </c>
      <c r="D102" s="44" t="s">
        <v>608</v>
      </c>
      <c r="E102" s="79">
        <f>(E101*$E$98*(E24+E25)+E101*E74)*E68</f>
        <v>0.21513969941290581</v>
      </c>
      <c r="F102" s="46"/>
      <c r="G102" s="47"/>
      <c r="H102" s="48" t="s">
        <v>298</v>
      </c>
      <c r="I102" s="46" t="s">
        <v>599</v>
      </c>
      <c r="J102" s="254" t="s">
        <v>505</v>
      </c>
      <c r="K102" s="255"/>
      <c r="L102" s="255"/>
      <c r="M102" s="255"/>
      <c r="N102" s="255"/>
      <c r="O102" s="255"/>
      <c r="P102" s="256"/>
      <c r="Q102" s="2"/>
      <c r="R102" s="2"/>
      <c r="S102" s="2"/>
      <c r="T102" s="2"/>
      <c r="U102" s="2"/>
      <c r="V102" s="2"/>
      <c r="W102" s="2"/>
      <c r="X102" s="2"/>
      <c r="Y102" s="2"/>
    </row>
    <row r="103" spans="1:25" x14ac:dyDescent="0.25">
      <c r="A103" s="2"/>
      <c r="B103" s="17">
        <f t="shared" si="0"/>
        <v>11</v>
      </c>
      <c r="C103" s="43" t="s">
        <v>517</v>
      </c>
      <c r="D103" s="44" t="s">
        <v>519</v>
      </c>
      <c r="E103" s="79">
        <f>1-E40</f>
        <v>6.3498205433434207E-2</v>
      </c>
      <c r="F103" s="46"/>
      <c r="G103" s="47"/>
      <c r="H103" s="48" t="s">
        <v>298</v>
      </c>
      <c r="I103" s="46">
        <v>2</v>
      </c>
      <c r="J103" s="254" t="s">
        <v>518</v>
      </c>
      <c r="K103" s="255"/>
      <c r="L103" s="255"/>
      <c r="M103" s="255"/>
      <c r="N103" s="255"/>
      <c r="O103" s="255"/>
      <c r="P103" s="256"/>
      <c r="Q103" s="2"/>
      <c r="R103" s="2"/>
      <c r="S103" s="2"/>
      <c r="T103" s="2"/>
      <c r="U103" s="2"/>
      <c r="V103" s="2"/>
      <c r="W103" s="2"/>
      <c r="X103" s="2"/>
      <c r="Y103" s="2"/>
    </row>
    <row r="104" spans="1:25" x14ac:dyDescent="0.25">
      <c r="A104" s="2"/>
      <c r="B104" s="17">
        <f t="shared" si="0"/>
        <v>10</v>
      </c>
      <c r="C104" s="43" t="s">
        <v>349</v>
      </c>
      <c r="D104" s="44" t="s">
        <v>551</v>
      </c>
      <c r="E104" s="79">
        <f>E53+E100</f>
        <v>0.43541902606631672</v>
      </c>
      <c r="F104" s="46"/>
      <c r="G104" s="47"/>
      <c r="H104" s="48" t="s">
        <v>298</v>
      </c>
      <c r="I104" s="46" t="s">
        <v>599</v>
      </c>
      <c r="J104" s="254" t="s">
        <v>623</v>
      </c>
      <c r="K104" s="255"/>
      <c r="L104" s="255"/>
      <c r="M104" s="255"/>
      <c r="N104" s="255"/>
      <c r="O104" s="255"/>
      <c r="P104" s="256"/>
      <c r="Q104" s="2"/>
      <c r="R104" s="2"/>
      <c r="S104" s="2"/>
      <c r="T104" s="2"/>
      <c r="U104" s="2"/>
      <c r="V104" s="2"/>
      <c r="W104" s="2"/>
      <c r="X104" s="2"/>
      <c r="Y104" s="2"/>
    </row>
    <row r="105" spans="1:25" x14ac:dyDescent="0.25">
      <c r="A105" s="2"/>
      <c r="B105" s="17">
        <f t="shared" si="0"/>
        <v>12</v>
      </c>
      <c r="C105" s="43" t="s">
        <v>350</v>
      </c>
      <c r="D105" s="44" t="s">
        <v>609</v>
      </c>
      <c r="E105" s="79">
        <f>E54+E84</f>
        <v>0</v>
      </c>
      <c r="F105" s="46"/>
      <c r="G105" s="47"/>
      <c r="H105" s="48" t="s">
        <v>298</v>
      </c>
      <c r="I105" s="46" t="s">
        <v>599</v>
      </c>
      <c r="J105" s="254" t="s">
        <v>624</v>
      </c>
      <c r="K105" s="255"/>
      <c r="L105" s="255"/>
      <c r="M105" s="255"/>
      <c r="N105" s="255"/>
      <c r="O105" s="255"/>
      <c r="P105" s="256"/>
      <c r="Q105" s="2"/>
      <c r="R105" s="2"/>
      <c r="S105" s="2"/>
      <c r="T105" s="2"/>
      <c r="U105" s="2"/>
      <c r="V105" s="2"/>
      <c r="W105" s="2"/>
      <c r="X105" s="2"/>
      <c r="Y105" s="2"/>
    </row>
    <row r="106" spans="1:25" x14ac:dyDescent="0.25">
      <c r="A106" s="2"/>
      <c r="B106" s="17">
        <f t="shared" si="0"/>
        <v>11</v>
      </c>
      <c r="C106" s="43" t="s">
        <v>351</v>
      </c>
      <c r="D106" s="44" t="s">
        <v>610</v>
      </c>
      <c r="E106" s="79">
        <f>E90+E55</f>
        <v>0.47764819684430265</v>
      </c>
      <c r="F106" s="46"/>
      <c r="G106" s="47"/>
      <c r="H106" s="48" t="s">
        <v>298</v>
      </c>
      <c r="I106" s="46" t="s">
        <v>599</v>
      </c>
      <c r="J106" s="254" t="s">
        <v>625</v>
      </c>
      <c r="K106" s="255"/>
      <c r="L106" s="255"/>
      <c r="M106" s="255"/>
      <c r="N106" s="255"/>
      <c r="O106" s="255"/>
      <c r="P106" s="256"/>
      <c r="Q106" s="2"/>
      <c r="R106" s="2"/>
      <c r="S106" s="2"/>
      <c r="T106" s="2"/>
      <c r="U106" s="2"/>
      <c r="V106" s="2"/>
      <c r="W106" s="2"/>
      <c r="X106" s="2"/>
      <c r="Y106" s="2"/>
    </row>
    <row r="107" spans="1:25" x14ac:dyDescent="0.25">
      <c r="A107" s="2"/>
      <c r="B107" s="17">
        <f t="shared" si="0"/>
        <v>11</v>
      </c>
      <c r="C107" s="43" t="s">
        <v>533</v>
      </c>
      <c r="D107" s="44"/>
      <c r="E107" s="79">
        <v>6</v>
      </c>
      <c r="F107" s="46"/>
      <c r="G107" s="47"/>
      <c r="H107" s="48" t="s">
        <v>503</v>
      </c>
      <c r="I107" s="46">
        <v>2</v>
      </c>
      <c r="J107" s="254" t="s">
        <v>627</v>
      </c>
      <c r="K107" s="255"/>
      <c r="L107" s="255"/>
      <c r="M107" s="255"/>
      <c r="N107" s="255"/>
      <c r="O107" s="255"/>
      <c r="P107" s="256"/>
      <c r="Q107" s="2"/>
      <c r="R107" s="2"/>
      <c r="S107" s="2"/>
      <c r="T107" s="2"/>
      <c r="U107" s="2"/>
      <c r="V107" s="2"/>
      <c r="W107" s="2"/>
      <c r="X107" s="2"/>
      <c r="Y107" s="2"/>
    </row>
    <row r="108" spans="1:25" x14ac:dyDescent="0.25">
      <c r="A108" s="2"/>
      <c r="B108" s="17">
        <f t="shared" si="0"/>
        <v>9</v>
      </c>
      <c r="C108" s="43" t="s">
        <v>532</v>
      </c>
      <c r="D108" s="44" t="s">
        <v>535</v>
      </c>
      <c r="E108" s="79">
        <f>E107*E43*E68</f>
        <v>0.43027939882581162</v>
      </c>
      <c r="F108" s="46"/>
      <c r="G108" s="47"/>
      <c r="H108" s="48" t="s">
        <v>298</v>
      </c>
      <c r="I108" s="46">
        <v>2</v>
      </c>
      <c r="J108" s="254" t="s">
        <v>626</v>
      </c>
      <c r="K108" s="255"/>
      <c r="L108" s="255"/>
      <c r="M108" s="255"/>
      <c r="N108" s="255"/>
      <c r="O108" s="255"/>
      <c r="P108" s="256"/>
      <c r="Q108" s="2"/>
      <c r="R108" s="2"/>
      <c r="S108" s="2"/>
      <c r="T108" s="2"/>
      <c r="U108" s="2"/>
      <c r="V108" s="2"/>
      <c r="W108" s="2"/>
      <c r="X108" s="2"/>
      <c r="Y108" s="2"/>
    </row>
    <row r="109" spans="1:25" x14ac:dyDescent="0.25">
      <c r="A109" s="2"/>
      <c r="B109" s="17">
        <f t="shared" si="0"/>
        <v>12</v>
      </c>
      <c r="C109" s="43" t="s">
        <v>355</v>
      </c>
      <c r="D109" s="44" t="s">
        <v>534</v>
      </c>
      <c r="E109" s="79">
        <f>E108+E57</f>
        <v>1.4121118426401824</v>
      </c>
      <c r="F109" s="46"/>
      <c r="G109" s="47"/>
      <c r="H109" s="48" t="s">
        <v>298</v>
      </c>
      <c r="I109" s="46">
        <v>2</v>
      </c>
      <c r="J109" s="254" t="s">
        <v>628</v>
      </c>
      <c r="K109" s="255"/>
      <c r="L109" s="255"/>
      <c r="M109" s="255"/>
      <c r="N109" s="255"/>
      <c r="O109" s="255"/>
      <c r="P109" s="256"/>
      <c r="Q109" s="2"/>
      <c r="R109" s="2"/>
      <c r="S109" s="2"/>
      <c r="T109" s="2"/>
      <c r="U109" s="2"/>
      <c r="V109" s="2"/>
      <c r="W109" s="2"/>
      <c r="X109" s="2"/>
      <c r="Y109" s="2"/>
    </row>
    <row r="110" spans="1:25" ht="26.25" x14ac:dyDescent="0.25">
      <c r="A110" s="2"/>
      <c r="B110" s="17">
        <f t="shared" si="0"/>
        <v>10</v>
      </c>
      <c r="C110" s="43" t="s">
        <v>536</v>
      </c>
      <c r="D110" s="44" t="s">
        <v>606</v>
      </c>
      <c r="E110" s="79">
        <f>(E97+E88+E102+E92+E75+E76-E108)*(1-E25)</f>
        <v>0</v>
      </c>
      <c r="F110" s="46"/>
      <c r="G110" s="47"/>
      <c r="H110" s="48" t="s">
        <v>298</v>
      </c>
      <c r="I110" s="46" t="s">
        <v>599</v>
      </c>
      <c r="J110" s="254" t="s">
        <v>629</v>
      </c>
      <c r="K110" s="255"/>
      <c r="L110" s="255"/>
      <c r="M110" s="255"/>
      <c r="N110" s="255"/>
      <c r="O110" s="255"/>
      <c r="P110" s="256"/>
      <c r="Q110" s="2"/>
      <c r="R110" s="2"/>
      <c r="S110" s="2"/>
      <c r="T110" s="2"/>
      <c r="U110" s="2"/>
      <c r="V110" s="2"/>
      <c r="W110" s="2"/>
      <c r="X110" s="2"/>
      <c r="Y110" s="2"/>
    </row>
    <row r="111" spans="1:25" x14ac:dyDescent="0.25">
      <c r="A111" s="2"/>
      <c r="B111" s="17">
        <f t="shared" si="0"/>
        <v>8</v>
      </c>
      <c r="C111" s="43" t="s">
        <v>537</v>
      </c>
      <c r="D111" s="44" t="s">
        <v>607</v>
      </c>
      <c r="E111" s="79">
        <f>E86+E56+E25*(E108-E102)</f>
        <v>0.69278789625720849</v>
      </c>
      <c r="F111" s="46"/>
      <c r="G111" s="47"/>
      <c r="H111" s="48" t="s">
        <v>298</v>
      </c>
      <c r="I111" s="46" t="s">
        <v>599</v>
      </c>
      <c r="J111" s="254" t="s">
        <v>630</v>
      </c>
      <c r="K111" s="255"/>
      <c r="L111" s="255"/>
      <c r="M111" s="255"/>
      <c r="N111" s="255"/>
      <c r="O111" s="255"/>
      <c r="P111" s="256"/>
      <c r="Q111" s="2"/>
      <c r="R111" s="2"/>
      <c r="S111" s="2"/>
      <c r="T111" s="2"/>
      <c r="U111" s="2"/>
      <c r="V111" s="2"/>
      <c r="W111" s="2"/>
      <c r="X111" s="2"/>
      <c r="Y111" s="2"/>
    </row>
    <row r="112" spans="1:25" x14ac:dyDescent="0.25">
      <c r="A112" s="2"/>
      <c r="B112" s="17">
        <f t="shared" si="0"/>
        <v>12</v>
      </c>
      <c r="C112" s="43" t="s">
        <v>631</v>
      </c>
      <c r="D112" s="44" t="s">
        <v>555</v>
      </c>
      <c r="E112" s="79">
        <f>E25*E56+E78</f>
        <v>1.1302450710942114</v>
      </c>
      <c r="F112" s="46"/>
      <c r="G112" s="47"/>
      <c r="H112" s="48" t="s">
        <v>298</v>
      </c>
      <c r="I112" s="46" t="s">
        <v>599</v>
      </c>
      <c r="J112" s="254" t="s">
        <v>633</v>
      </c>
      <c r="K112" s="255"/>
      <c r="L112" s="255"/>
      <c r="M112" s="255"/>
      <c r="N112" s="255"/>
      <c r="O112" s="255"/>
      <c r="P112" s="256"/>
      <c r="Q112" s="2"/>
      <c r="R112" s="2"/>
      <c r="S112" s="2"/>
      <c r="T112" s="2"/>
      <c r="U112" s="2"/>
      <c r="V112" s="2"/>
      <c r="W112" s="2"/>
      <c r="X112" s="2"/>
      <c r="Y112" s="2"/>
    </row>
    <row r="113" spans="1:25" x14ac:dyDescent="0.25">
      <c r="A113" s="2"/>
      <c r="B113" s="17">
        <f t="shared" si="0"/>
        <v>0</v>
      </c>
      <c r="C113" s="43"/>
      <c r="D113" s="44"/>
      <c r="E113" s="45"/>
      <c r="F113" s="46"/>
      <c r="G113" s="47"/>
      <c r="H113" s="48"/>
      <c r="I113" s="46"/>
      <c r="J113" s="254"/>
      <c r="K113" s="255"/>
      <c r="L113" s="255"/>
      <c r="M113" s="255"/>
      <c r="N113" s="255"/>
      <c r="O113" s="255"/>
      <c r="P113" s="256"/>
      <c r="Q113" s="2"/>
      <c r="R113" s="2"/>
      <c r="S113" s="2"/>
      <c r="T113" s="2"/>
      <c r="U113" s="2"/>
      <c r="V113" s="2"/>
      <c r="W113" s="2"/>
      <c r="X113" s="2"/>
      <c r="Y113" s="2"/>
    </row>
    <row r="114" spans="1:25" x14ac:dyDescent="0.25">
      <c r="A114" s="2"/>
      <c r="B114" s="9"/>
      <c r="C114" s="49" t="s">
        <v>67</v>
      </c>
      <c r="D114" s="50" t="s">
        <v>68</v>
      </c>
      <c r="E114" s="51"/>
      <c r="F114" s="51"/>
      <c r="G114" s="51"/>
      <c r="H114" s="52"/>
      <c r="I114" s="53"/>
      <c r="J114" s="54"/>
      <c r="K114" s="54"/>
      <c r="L114" s="54"/>
      <c r="M114" s="54"/>
      <c r="N114" s="54"/>
      <c r="O114" s="54"/>
      <c r="P114" s="55"/>
      <c r="Q114" s="2"/>
      <c r="R114" s="2"/>
      <c r="S114" s="2"/>
      <c r="T114" s="2"/>
      <c r="U114" s="2"/>
      <c r="V114" s="2"/>
      <c r="W114" s="2"/>
      <c r="X114" s="2"/>
      <c r="Y114" s="2"/>
    </row>
    <row r="115" spans="1:25" ht="15.75" thickBot="1" x14ac:dyDescent="0.3">
      <c r="A115" s="2"/>
      <c r="B115" s="9"/>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thickBot="1" x14ac:dyDescent="0.3">
      <c r="A116" s="31"/>
      <c r="B116" s="261" t="s">
        <v>69</v>
      </c>
      <c r="C116" s="262"/>
      <c r="D116" s="262"/>
      <c r="E116" s="262"/>
      <c r="F116" s="262"/>
      <c r="G116" s="262"/>
      <c r="H116" s="262"/>
      <c r="I116" s="262"/>
      <c r="J116" s="262"/>
      <c r="K116" s="262"/>
      <c r="L116" s="262"/>
      <c r="M116" s="262"/>
      <c r="N116" s="262"/>
      <c r="O116" s="262"/>
      <c r="P116" s="263"/>
      <c r="Q116" s="31"/>
      <c r="R116" s="31"/>
      <c r="S116" s="31"/>
      <c r="T116" s="31"/>
      <c r="U116" s="31"/>
      <c r="V116" s="31"/>
      <c r="W116" s="31"/>
      <c r="X116" s="31"/>
      <c r="Y116" s="31"/>
    </row>
    <row r="117" spans="1:25" x14ac:dyDescent="0.25">
      <c r="A117" s="2"/>
      <c r="B117" s="9"/>
      <c r="C117" s="2"/>
      <c r="D117" s="2"/>
      <c r="E117" s="2"/>
      <c r="F117" s="2"/>
      <c r="G117" s="2"/>
      <c r="H117" s="41" t="s">
        <v>70</v>
      </c>
      <c r="I117" s="2"/>
      <c r="J117" s="2"/>
      <c r="K117" s="2"/>
      <c r="L117" s="2"/>
      <c r="M117" s="2"/>
      <c r="N117" s="2"/>
      <c r="O117" s="2"/>
      <c r="P117" s="2"/>
      <c r="Q117" s="2"/>
      <c r="R117" s="2"/>
      <c r="S117" s="2"/>
      <c r="T117" s="2"/>
      <c r="U117" s="2"/>
      <c r="V117" s="2"/>
      <c r="W117" s="2"/>
      <c r="X117" s="2"/>
      <c r="Y117" s="2"/>
    </row>
    <row r="118" spans="1:25" x14ac:dyDescent="0.25">
      <c r="A118" s="2"/>
      <c r="B118" s="9"/>
      <c r="C118" s="42" t="s">
        <v>71</v>
      </c>
      <c r="D118" s="42" t="s">
        <v>72</v>
      </c>
      <c r="E118" s="42" t="s">
        <v>61</v>
      </c>
      <c r="F118" s="42" t="s">
        <v>73</v>
      </c>
      <c r="G118" s="42" t="s">
        <v>71</v>
      </c>
      <c r="H118" s="42" t="s">
        <v>64</v>
      </c>
      <c r="I118" s="42" t="s">
        <v>74</v>
      </c>
      <c r="J118" s="42" t="s">
        <v>75</v>
      </c>
      <c r="K118" s="42" t="s">
        <v>76</v>
      </c>
      <c r="L118" s="42" t="s">
        <v>77</v>
      </c>
      <c r="M118" s="42" t="s">
        <v>65</v>
      </c>
      <c r="N118" s="264" t="s">
        <v>66</v>
      </c>
      <c r="O118" s="264"/>
      <c r="P118" s="264"/>
      <c r="Q118" s="2"/>
      <c r="R118" s="2"/>
      <c r="S118" s="2"/>
      <c r="T118" s="2"/>
      <c r="U118" s="2"/>
      <c r="V118" s="2"/>
      <c r="W118" s="2"/>
      <c r="X118" s="31"/>
      <c r="Y118" s="31"/>
    </row>
    <row r="119" spans="1:25" x14ac:dyDescent="0.25">
      <c r="A119" s="2"/>
      <c r="B119" s="9"/>
      <c r="C119" s="43"/>
      <c r="D119" s="62" t="s">
        <v>357</v>
      </c>
      <c r="E119" s="56">
        <v>1</v>
      </c>
      <c r="F119" s="56" t="s">
        <v>42</v>
      </c>
      <c r="G119" s="57">
        <f t="shared" ref="G119:G125" si="1">IF($C119="",1,VLOOKUP($C119,$C$22:$H$114,3,FALSE))</f>
        <v>1</v>
      </c>
      <c r="H119" s="58" t="str">
        <f t="shared" ref="H119:H125" si="2">IF($C119="","",VLOOKUP($C119,$C$22:$H$114,6,FALSE))</f>
        <v/>
      </c>
      <c r="I119" s="228">
        <f t="shared" ref="I119:I125" si="3">IF(D119="","",E119*G119*$D$5)</f>
        <v>1</v>
      </c>
      <c r="J119" s="56"/>
      <c r="K119" s="60" t="s">
        <v>91</v>
      </c>
      <c r="L119" s="56" t="s">
        <v>106</v>
      </c>
      <c r="M119" s="61"/>
      <c r="N119" s="259" t="s">
        <v>440</v>
      </c>
      <c r="O119" s="260"/>
      <c r="P119" s="260"/>
      <c r="Q119" s="2"/>
      <c r="R119" s="2"/>
      <c r="S119" s="2"/>
      <c r="T119" s="2"/>
      <c r="U119" s="2"/>
      <c r="V119" s="2"/>
      <c r="W119" s="2"/>
      <c r="X119" s="31"/>
      <c r="Y119" s="31"/>
    </row>
    <row r="120" spans="1:25" x14ac:dyDescent="0.25">
      <c r="A120" s="2"/>
      <c r="B120" s="9"/>
      <c r="C120" s="43" t="str">
        <f>C104</f>
        <v>hcl_m_reqd</v>
      </c>
      <c r="D120" s="62" t="s">
        <v>362</v>
      </c>
      <c r="E120" s="56">
        <v>1</v>
      </c>
      <c r="F120" s="56" t="s">
        <v>298</v>
      </c>
      <c r="G120" s="57">
        <f t="shared" si="1"/>
        <v>0.43541902606631672</v>
      </c>
      <c r="H120" s="58" t="str">
        <f t="shared" si="2"/>
        <v>kg/kg</v>
      </c>
      <c r="I120" s="228">
        <f t="shared" si="3"/>
        <v>0.43541902606631672</v>
      </c>
      <c r="J120" s="56" t="s">
        <v>42</v>
      </c>
      <c r="K120" s="60" t="s">
        <v>91</v>
      </c>
      <c r="L120" s="56" t="s">
        <v>95</v>
      </c>
      <c r="M120" s="61" t="s">
        <v>599</v>
      </c>
      <c r="N120" s="259" t="s">
        <v>365</v>
      </c>
      <c r="O120" s="260"/>
      <c r="P120" s="260"/>
      <c r="Q120" s="2"/>
      <c r="R120" s="2"/>
      <c r="S120" s="2"/>
      <c r="T120" s="2"/>
      <c r="U120" s="2"/>
      <c r="V120" s="2"/>
      <c r="W120" s="2"/>
      <c r="X120" s="31"/>
      <c r="Y120" s="31"/>
    </row>
    <row r="121" spans="1:25" x14ac:dyDescent="0.25">
      <c r="A121" s="2"/>
      <c r="B121" s="9"/>
      <c r="C121" s="43" t="s">
        <v>350</v>
      </c>
      <c r="D121" s="62" t="s">
        <v>363</v>
      </c>
      <c r="E121" s="56">
        <v>1</v>
      </c>
      <c r="F121" s="56" t="s">
        <v>298</v>
      </c>
      <c r="G121" s="57">
        <f t="shared" si="1"/>
        <v>0</v>
      </c>
      <c r="H121" s="58" t="str">
        <f t="shared" si="2"/>
        <v>kg/kg</v>
      </c>
      <c r="I121" s="228">
        <f t="shared" si="3"/>
        <v>0</v>
      </c>
      <c r="J121" s="56" t="s">
        <v>42</v>
      </c>
      <c r="K121" s="60" t="s">
        <v>91</v>
      </c>
      <c r="L121" s="56" t="s">
        <v>95</v>
      </c>
      <c r="M121" s="61" t="s">
        <v>599</v>
      </c>
      <c r="N121" s="259" t="s">
        <v>366</v>
      </c>
      <c r="O121" s="260"/>
      <c r="P121" s="260"/>
      <c r="Q121" s="2"/>
      <c r="R121" s="2"/>
      <c r="S121" s="2"/>
      <c r="T121" s="2"/>
      <c r="U121" s="2"/>
      <c r="V121" s="2"/>
      <c r="W121" s="2"/>
      <c r="X121" s="31"/>
      <c r="Y121" s="31"/>
    </row>
    <row r="122" spans="1:25" x14ac:dyDescent="0.25">
      <c r="A122" s="2"/>
      <c r="B122" s="9"/>
      <c r="C122" s="43" t="s">
        <v>351</v>
      </c>
      <c r="D122" s="64" t="s">
        <v>364</v>
      </c>
      <c r="E122" s="56">
        <v>1</v>
      </c>
      <c r="F122" s="56" t="s">
        <v>298</v>
      </c>
      <c r="G122" s="57">
        <f t="shared" si="1"/>
        <v>0.47764819684430265</v>
      </c>
      <c r="H122" s="58" t="str">
        <f t="shared" si="2"/>
        <v>kg/kg</v>
      </c>
      <c r="I122" s="228">
        <f t="shared" si="3"/>
        <v>0.47764819684430265</v>
      </c>
      <c r="J122" s="56" t="s">
        <v>42</v>
      </c>
      <c r="K122" s="60" t="s">
        <v>91</v>
      </c>
      <c r="L122" s="56" t="s">
        <v>95</v>
      </c>
      <c r="M122" s="61" t="s">
        <v>599</v>
      </c>
      <c r="N122" s="259" t="s">
        <v>367</v>
      </c>
      <c r="O122" s="260"/>
      <c r="P122" s="260"/>
      <c r="Q122" s="2"/>
      <c r="R122" s="2"/>
      <c r="S122" s="2"/>
      <c r="T122" s="2"/>
      <c r="U122" s="2"/>
      <c r="V122" s="2"/>
      <c r="W122" s="2"/>
      <c r="X122" s="31"/>
      <c r="Y122" s="31"/>
    </row>
    <row r="123" spans="1:25" x14ac:dyDescent="0.25">
      <c r="A123" s="2"/>
      <c r="B123" s="9"/>
      <c r="C123" s="43" t="s">
        <v>537</v>
      </c>
      <c r="D123" s="64" t="s">
        <v>422</v>
      </c>
      <c r="E123" s="56">
        <v>1</v>
      </c>
      <c r="F123" s="56" t="s">
        <v>298</v>
      </c>
      <c r="G123" s="57">
        <f t="shared" si="1"/>
        <v>0.69278789625720849</v>
      </c>
      <c r="H123" s="58" t="str">
        <f t="shared" si="2"/>
        <v>kg/kg</v>
      </c>
      <c r="I123" s="228">
        <f>IF(D123="","",E123*G123*$D$5)</f>
        <v>0.69278789625720849</v>
      </c>
      <c r="J123" s="56" t="s">
        <v>42</v>
      </c>
      <c r="K123" s="60" t="s">
        <v>96</v>
      </c>
      <c r="L123" s="56" t="s">
        <v>95</v>
      </c>
      <c r="M123" s="61" t="s">
        <v>599</v>
      </c>
      <c r="N123" s="259" t="s">
        <v>637</v>
      </c>
      <c r="O123" s="260"/>
      <c r="P123" s="260"/>
      <c r="Q123" s="2"/>
      <c r="R123" s="2"/>
      <c r="S123" s="2"/>
      <c r="T123" s="2"/>
      <c r="U123" s="2"/>
      <c r="V123" s="2"/>
      <c r="W123" s="2"/>
      <c r="X123" s="31"/>
      <c r="Y123" s="31"/>
    </row>
    <row r="124" spans="1:25" x14ac:dyDescent="0.25">
      <c r="A124" s="2"/>
      <c r="B124" s="9"/>
      <c r="C124" s="43" t="s">
        <v>553</v>
      </c>
      <c r="D124" s="64" t="s">
        <v>554</v>
      </c>
      <c r="E124" s="56">
        <v>1</v>
      </c>
      <c r="F124" s="56" t="s">
        <v>298</v>
      </c>
      <c r="G124" s="57">
        <f t="shared" si="1"/>
        <v>0</v>
      </c>
      <c r="H124" s="58" t="str">
        <f t="shared" si="2"/>
        <v>kg/kg</v>
      </c>
      <c r="I124" s="228">
        <f>IF(D124="","",E124*G124*$D$5)</f>
        <v>0</v>
      </c>
      <c r="J124" s="56" t="s">
        <v>42</v>
      </c>
      <c r="K124" s="60" t="s">
        <v>91</v>
      </c>
      <c r="L124" s="56" t="s">
        <v>95</v>
      </c>
      <c r="M124" s="61" t="s">
        <v>599</v>
      </c>
      <c r="N124" s="257" t="s">
        <v>638</v>
      </c>
      <c r="O124" s="257"/>
      <c r="P124" s="257"/>
      <c r="Q124" s="2"/>
      <c r="R124" s="2"/>
      <c r="S124" s="2"/>
      <c r="T124" s="2"/>
      <c r="U124" s="2"/>
      <c r="V124" s="2"/>
      <c r="W124" s="2"/>
      <c r="X124" s="31"/>
      <c r="Y124" s="31"/>
    </row>
    <row r="125" spans="1:25" x14ac:dyDescent="0.25">
      <c r="A125" s="2"/>
      <c r="B125" s="9"/>
      <c r="C125" s="56" t="s">
        <v>264</v>
      </c>
      <c r="D125" s="222" t="s">
        <v>368</v>
      </c>
      <c r="E125" s="56">
        <v>1</v>
      </c>
      <c r="F125" s="56" t="s">
        <v>578</v>
      </c>
      <c r="G125" s="57">
        <f t="shared" si="1"/>
        <v>1159.8986960789684</v>
      </c>
      <c r="H125" s="58" t="str">
        <f t="shared" si="2"/>
        <v>kJ/kg</v>
      </c>
      <c r="I125" s="59">
        <f t="shared" si="3"/>
        <v>1159.8986960789684</v>
      </c>
      <c r="J125" s="56" t="s">
        <v>262</v>
      </c>
      <c r="K125" s="60" t="s">
        <v>91</v>
      </c>
      <c r="L125" s="56" t="s">
        <v>95</v>
      </c>
      <c r="M125" s="61" t="s">
        <v>577</v>
      </c>
      <c r="N125" s="259" t="s">
        <v>275</v>
      </c>
      <c r="O125" s="260"/>
      <c r="P125" s="260"/>
      <c r="Q125" s="2"/>
      <c r="R125" s="2"/>
      <c r="S125" s="2"/>
      <c r="T125" s="2"/>
      <c r="U125" s="2"/>
      <c r="V125" s="2"/>
      <c r="W125" s="2"/>
      <c r="X125" s="31"/>
      <c r="Y125" s="31"/>
    </row>
    <row r="126" spans="1:25" x14ac:dyDescent="0.25">
      <c r="A126" s="2"/>
      <c r="B126" s="9"/>
      <c r="C126" s="65" t="s">
        <v>67</v>
      </c>
      <c r="D126" s="50" t="s">
        <v>68</v>
      </c>
      <c r="E126" s="66" t="s">
        <v>78</v>
      </c>
      <c r="F126" s="50"/>
      <c r="G126" s="50"/>
      <c r="H126" s="50"/>
      <c r="I126" s="66" t="s">
        <v>79</v>
      </c>
      <c r="J126" s="50"/>
      <c r="K126" s="66"/>
      <c r="L126" s="50" t="s">
        <v>80</v>
      </c>
      <c r="M126" s="67"/>
      <c r="N126" s="258"/>
      <c r="O126" s="258"/>
      <c r="P126" s="258"/>
      <c r="Q126" s="2"/>
      <c r="R126" s="2"/>
      <c r="S126" s="2"/>
      <c r="T126" s="2"/>
      <c r="U126" s="2"/>
      <c r="V126" s="2"/>
      <c r="W126" s="2"/>
      <c r="X126" s="31"/>
      <c r="Y126" s="31"/>
    </row>
    <row r="127" spans="1:25" ht="15.75" thickBot="1" x14ac:dyDescent="0.3">
      <c r="A127" s="2"/>
      <c r="B127" s="9"/>
      <c r="C127" s="2"/>
      <c r="D127" s="2"/>
      <c r="E127" s="2"/>
      <c r="F127" s="2"/>
      <c r="G127" s="2"/>
      <c r="H127" s="2"/>
      <c r="I127" s="2"/>
      <c r="J127" s="2"/>
      <c r="K127" s="2"/>
      <c r="L127" s="2"/>
      <c r="M127" s="2"/>
      <c r="N127" s="2"/>
      <c r="O127" s="2"/>
      <c r="P127" s="2"/>
      <c r="Q127" s="2"/>
      <c r="R127" s="2"/>
      <c r="S127" s="2"/>
      <c r="T127" s="2"/>
      <c r="U127" s="2"/>
      <c r="V127" s="2"/>
      <c r="W127" s="2"/>
      <c r="X127" s="31"/>
      <c r="Y127" s="31"/>
    </row>
    <row r="128" spans="1:25" ht="15.75" thickBot="1" x14ac:dyDescent="0.3">
      <c r="A128" s="31"/>
      <c r="B128" s="261" t="s">
        <v>81</v>
      </c>
      <c r="C128" s="262"/>
      <c r="D128" s="262"/>
      <c r="E128" s="262"/>
      <c r="F128" s="262"/>
      <c r="G128" s="262"/>
      <c r="H128" s="262"/>
      <c r="I128" s="262"/>
      <c r="J128" s="262"/>
      <c r="K128" s="262"/>
      <c r="L128" s="262"/>
      <c r="M128" s="262"/>
      <c r="N128" s="262"/>
      <c r="O128" s="262"/>
      <c r="P128" s="263"/>
      <c r="Q128" s="31"/>
      <c r="R128" s="31"/>
      <c r="S128" s="31"/>
      <c r="T128" s="31"/>
      <c r="U128" s="31"/>
      <c r="V128" s="31"/>
      <c r="W128" s="31"/>
      <c r="X128" s="31"/>
      <c r="Y128" s="31"/>
    </row>
    <row r="129" spans="1:25" x14ac:dyDescent="0.25">
      <c r="A129" s="2"/>
      <c r="B129" s="9"/>
      <c r="C129" s="2"/>
      <c r="D129" s="2"/>
      <c r="E129" s="2"/>
      <c r="F129" s="2"/>
      <c r="G129" s="2"/>
      <c r="H129" s="41" t="s">
        <v>82</v>
      </c>
      <c r="I129" s="2"/>
      <c r="J129" s="2"/>
      <c r="K129" s="2"/>
      <c r="L129" s="2"/>
      <c r="M129" s="2"/>
      <c r="N129" s="2"/>
      <c r="O129" s="2"/>
      <c r="P129" s="2"/>
      <c r="Q129" s="2"/>
      <c r="R129" s="2"/>
      <c r="S129" s="2"/>
      <c r="T129" s="2"/>
      <c r="U129" s="2"/>
      <c r="V129" s="2"/>
      <c r="W129" s="2"/>
      <c r="X129" s="31"/>
      <c r="Y129" s="31"/>
    </row>
    <row r="130" spans="1:25" x14ac:dyDescent="0.25">
      <c r="A130" s="2"/>
      <c r="B130" s="9"/>
      <c r="C130" s="42" t="s">
        <v>71</v>
      </c>
      <c r="D130" s="42" t="s">
        <v>72</v>
      </c>
      <c r="E130" s="42" t="s">
        <v>61</v>
      </c>
      <c r="F130" s="42" t="s">
        <v>73</v>
      </c>
      <c r="G130" s="42" t="s">
        <v>71</v>
      </c>
      <c r="H130" s="42" t="s">
        <v>64</v>
      </c>
      <c r="I130" s="42" t="s">
        <v>74</v>
      </c>
      <c r="J130" s="42" t="s">
        <v>75</v>
      </c>
      <c r="K130" s="42" t="s">
        <v>76</v>
      </c>
      <c r="L130" s="42" t="s">
        <v>77</v>
      </c>
      <c r="M130" s="42" t="s">
        <v>65</v>
      </c>
      <c r="N130" s="264" t="s">
        <v>66</v>
      </c>
      <c r="O130" s="264"/>
      <c r="P130" s="264"/>
      <c r="Q130" s="2"/>
      <c r="R130" s="2"/>
      <c r="S130" s="2"/>
      <c r="T130" s="2"/>
      <c r="U130" s="2"/>
      <c r="V130" s="2"/>
      <c r="W130" s="2"/>
      <c r="X130" s="31"/>
      <c r="Y130" s="31"/>
    </row>
    <row r="131" spans="1:25" x14ac:dyDescent="0.25">
      <c r="A131" s="2"/>
      <c r="B131" s="9"/>
      <c r="C131" s="68" t="s">
        <v>355</v>
      </c>
      <c r="D131" s="69" t="str">
        <f>CONCATENATE(G5)</f>
        <v>rare earth chloride concentrate</v>
      </c>
      <c r="E131" s="70">
        <v>1</v>
      </c>
      <c r="F131" s="70" t="s">
        <v>298</v>
      </c>
      <c r="G131" s="57">
        <f t="shared" ref="G131:G138" si="4">IF($C131="",1,VLOOKUP($C131,$C$22:$H$114,3,FALSE))</f>
        <v>1.4121118426401824</v>
      </c>
      <c r="H131" s="58" t="str">
        <f t="shared" ref="H131:H138" si="5">IF($C131="","",VLOOKUP($C131,$C$22:$H$114,6,FALSE))</f>
        <v>kg/kg</v>
      </c>
      <c r="I131" s="228">
        <f>IF(D131="","",E131*G131*$D$5)</f>
        <v>1.4121118426401824</v>
      </c>
      <c r="J131" s="70" t="s">
        <v>42</v>
      </c>
      <c r="K131" s="60" t="s">
        <v>91</v>
      </c>
      <c r="L131" s="56" t="s">
        <v>95</v>
      </c>
      <c r="M131" s="71" t="s">
        <v>599</v>
      </c>
      <c r="N131" s="257" t="s">
        <v>669</v>
      </c>
      <c r="O131" s="257"/>
      <c r="P131" s="257"/>
      <c r="Q131" s="2"/>
      <c r="R131" s="2"/>
      <c r="S131" s="2"/>
      <c r="T131" s="2"/>
      <c r="U131" s="2"/>
      <c r="V131" s="2"/>
      <c r="W131" s="2"/>
      <c r="X131" s="31"/>
      <c r="Y131" s="31"/>
    </row>
    <row r="132" spans="1:25" x14ac:dyDescent="0.25">
      <c r="A132" s="2"/>
      <c r="B132" s="9"/>
      <c r="C132" s="68" t="s">
        <v>411</v>
      </c>
      <c r="D132" s="69" t="s">
        <v>420</v>
      </c>
      <c r="E132" s="70">
        <v>1</v>
      </c>
      <c r="F132" s="70" t="s">
        <v>298</v>
      </c>
      <c r="G132" s="57">
        <f t="shared" si="4"/>
        <v>0</v>
      </c>
      <c r="H132" s="58" t="str">
        <f t="shared" si="5"/>
        <v>kg/kg</v>
      </c>
      <c r="I132" s="228">
        <f t="shared" ref="I132:I137" si="6">IF(D132="","",E132*G132*$D$5)</f>
        <v>0</v>
      </c>
      <c r="J132" s="70" t="s">
        <v>42</v>
      </c>
      <c r="K132" s="60"/>
      <c r="L132" s="56" t="s">
        <v>95</v>
      </c>
      <c r="M132" s="71">
        <v>2</v>
      </c>
      <c r="N132" s="257" t="s">
        <v>439</v>
      </c>
      <c r="O132" s="257"/>
      <c r="P132" s="257"/>
      <c r="Q132" s="2"/>
      <c r="R132" s="2"/>
      <c r="S132" s="2"/>
      <c r="T132" s="2"/>
      <c r="U132" s="2"/>
      <c r="V132" s="2"/>
      <c r="W132" s="2"/>
      <c r="X132" s="31"/>
      <c r="Y132" s="31"/>
    </row>
    <row r="133" spans="1:25" x14ac:dyDescent="0.25">
      <c r="A133" s="2"/>
      <c r="B133" s="9"/>
      <c r="C133" s="68" t="s">
        <v>419</v>
      </c>
      <c r="D133" s="69" t="s">
        <v>421</v>
      </c>
      <c r="E133" s="70">
        <v>1</v>
      </c>
      <c r="F133" s="70" t="s">
        <v>298</v>
      </c>
      <c r="G133" s="57">
        <f t="shared" si="4"/>
        <v>0</v>
      </c>
      <c r="H133" s="58" t="str">
        <f t="shared" si="5"/>
        <v>kg/kg</v>
      </c>
      <c r="I133" s="228">
        <f t="shared" si="6"/>
        <v>0</v>
      </c>
      <c r="J133" s="70" t="s">
        <v>42</v>
      </c>
      <c r="K133" s="60"/>
      <c r="L133" s="56" t="s">
        <v>95</v>
      </c>
      <c r="M133" s="71">
        <v>2</v>
      </c>
      <c r="N133" s="257" t="s">
        <v>439</v>
      </c>
      <c r="O133" s="257"/>
      <c r="P133" s="257"/>
      <c r="Q133" s="2"/>
      <c r="R133" s="2"/>
      <c r="S133" s="2"/>
      <c r="T133" s="2"/>
      <c r="U133" s="2"/>
      <c r="V133" s="2"/>
      <c r="W133" s="2"/>
      <c r="X133" s="31"/>
      <c r="Y133" s="31"/>
    </row>
    <row r="134" spans="1:25" x14ac:dyDescent="0.25">
      <c r="A134" s="2"/>
      <c r="B134" s="9"/>
      <c r="C134" s="68" t="s">
        <v>418</v>
      </c>
      <c r="D134" s="69" t="s">
        <v>527</v>
      </c>
      <c r="E134" s="70">
        <v>1</v>
      </c>
      <c r="F134" s="70" t="s">
        <v>298</v>
      </c>
      <c r="G134" s="57">
        <f t="shared" si="4"/>
        <v>0</v>
      </c>
      <c r="H134" s="58" t="str">
        <f t="shared" si="5"/>
        <v>kg/kg</v>
      </c>
      <c r="I134" s="228">
        <f t="shared" si="6"/>
        <v>0</v>
      </c>
      <c r="J134" s="70" t="s">
        <v>42</v>
      </c>
      <c r="K134" s="60" t="s">
        <v>96</v>
      </c>
      <c r="L134" s="56" t="s">
        <v>95</v>
      </c>
      <c r="M134" s="71" t="s">
        <v>599</v>
      </c>
      <c r="N134" s="257" t="s">
        <v>528</v>
      </c>
      <c r="O134" s="257"/>
      <c r="P134" s="257"/>
      <c r="Q134" s="2"/>
      <c r="R134" s="2"/>
      <c r="S134" s="2"/>
      <c r="T134" s="2"/>
      <c r="U134" s="2"/>
      <c r="V134" s="2"/>
      <c r="W134" s="2"/>
      <c r="X134" s="31"/>
      <c r="Y134" s="31"/>
    </row>
    <row r="135" spans="1:25" x14ac:dyDescent="0.25">
      <c r="A135" s="2"/>
      <c r="B135" s="9"/>
      <c r="C135" s="68" t="s">
        <v>517</v>
      </c>
      <c r="D135" s="69" t="s">
        <v>529</v>
      </c>
      <c r="E135" s="70">
        <v>1</v>
      </c>
      <c r="F135" s="70" t="s">
        <v>298</v>
      </c>
      <c r="G135" s="57">
        <f t="shared" si="4"/>
        <v>6.3498205433434207E-2</v>
      </c>
      <c r="H135" s="58" t="str">
        <f t="shared" si="5"/>
        <v>kg/kg</v>
      </c>
      <c r="I135" s="228">
        <f t="shared" si="6"/>
        <v>6.3498205433434207E-2</v>
      </c>
      <c r="J135" s="70" t="s">
        <v>42</v>
      </c>
      <c r="K135" s="60" t="s">
        <v>96</v>
      </c>
      <c r="L135" s="56" t="s">
        <v>95</v>
      </c>
      <c r="M135" s="71">
        <v>2</v>
      </c>
      <c r="N135" s="257" t="s">
        <v>562</v>
      </c>
      <c r="O135" s="257"/>
      <c r="P135" s="257"/>
      <c r="Q135" s="2"/>
      <c r="R135" s="2"/>
      <c r="S135" s="2"/>
      <c r="T135" s="2"/>
      <c r="U135" s="2"/>
      <c r="V135" s="2"/>
      <c r="W135" s="2"/>
      <c r="X135" s="31"/>
      <c r="Y135" s="31"/>
    </row>
    <row r="136" spans="1:25" x14ac:dyDescent="0.25">
      <c r="A136" s="2"/>
      <c r="B136" s="9"/>
      <c r="C136" s="68" t="s">
        <v>536</v>
      </c>
      <c r="D136" s="69" t="s">
        <v>552</v>
      </c>
      <c r="E136" s="70">
        <v>1</v>
      </c>
      <c r="F136" s="70" t="s">
        <v>298</v>
      </c>
      <c r="G136" s="57">
        <f t="shared" si="4"/>
        <v>0</v>
      </c>
      <c r="H136" s="58" t="str">
        <f t="shared" si="5"/>
        <v>kg/kg</v>
      </c>
      <c r="I136" s="228">
        <f t="shared" si="6"/>
        <v>0</v>
      </c>
      <c r="J136" s="70" t="s">
        <v>42</v>
      </c>
      <c r="K136" s="60" t="s">
        <v>96</v>
      </c>
      <c r="L136" s="56" t="s">
        <v>95</v>
      </c>
      <c r="M136" s="71" t="s">
        <v>599</v>
      </c>
      <c r="N136" s="257" t="s">
        <v>634</v>
      </c>
      <c r="O136" s="257"/>
      <c r="P136" s="257"/>
      <c r="Q136" s="2"/>
      <c r="R136" s="2"/>
      <c r="S136" s="2"/>
      <c r="T136" s="2"/>
      <c r="U136" s="2"/>
      <c r="V136" s="2"/>
      <c r="W136" s="2"/>
      <c r="X136" s="31"/>
      <c r="Y136" s="31"/>
    </row>
    <row r="137" spans="1:25" x14ac:dyDescent="0.25">
      <c r="A137" s="2"/>
      <c r="B137" s="9"/>
      <c r="C137" s="68" t="s">
        <v>631</v>
      </c>
      <c r="D137" s="69" t="s">
        <v>632</v>
      </c>
      <c r="E137" s="70">
        <v>1</v>
      </c>
      <c r="F137" s="70" t="s">
        <v>298</v>
      </c>
      <c r="G137" s="57">
        <f t="shared" si="4"/>
        <v>1.1302450710942114</v>
      </c>
      <c r="H137" s="58" t="str">
        <f t="shared" si="5"/>
        <v>kg/kg</v>
      </c>
      <c r="I137" s="228">
        <f t="shared" si="6"/>
        <v>1.1302450710942114</v>
      </c>
      <c r="J137" s="70" t="s">
        <v>42</v>
      </c>
      <c r="K137" s="60" t="s">
        <v>96</v>
      </c>
      <c r="L137" s="56" t="s">
        <v>95</v>
      </c>
      <c r="M137" s="71" t="s">
        <v>599</v>
      </c>
      <c r="N137" s="257" t="s">
        <v>635</v>
      </c>
      <c r="O137" s="257"/>
      <c r="P137" s="257"/>
      <c r="Q137" s="2"/>
      <c r="R137" s="2"/>
      <c r="S137" s="2"/>
      <c r="T137" s="2"/>
      <c r="U137" s="2"/>
      <c r="V137" s="2"/>
      <c r="W137" s="2"/>
      <c r="X137" s="31"/>
      <c r="Y137" s="31"/>
    </row>
    <row r="138" spans="1:25" x14ac:dyDescent="0.25">
      <c r="A138" s="2"/>
      <c r="B138" s="9"/>
      <c r="C138" s="63" t="s">
        <v>558</v>
      </c>
      <c r="D138" s="72" t="s">
        <v>561</v>
      </c>
      <c r="E138" s="70">
        <v>1</v>
      </c>
      <c r="F138" s="70" t="s">
        <v>298</v>
      </c>
      <c r="G138" s="57">
        <f t="shared" si="4"/>
        <v>0</v>
      </c>
      <c r="H138" s="58" t="str">
        <f t="shared" si="5"/>
        <v>kg/kg</v>
      </c>
      <c r="I138" s="228">
        <f>IF(D138="","",E138*G138*$D$5)</f>
        <v>0</v>
      </c>
      <c r="J138" s="70" t="s">
        <v>42</v>
      </c>
      <c r="K138" s="60" t="s">
        <v>96</v>
      </c>
      <c r="L138" s="56" t="s">
        <v>95</v>
      </c>
      <c r="M138" s="71" t="s">
        <v>599</v>
      </c>
      <c r="N138" s="257" t="s">
        <v>636</v>
      </c>
      <c r="O138" s="257"/>
      <c r="P138" s="257"/>
      <c r="Q138" s="2"/>
      <c r="R138" s="2"/>
      <c r="S138" s="2"/>
      <c r="T138" s="2"/>
      <c r="U138" s="2"/>
      <c r="V138" s="2"/>
      <c r="W138" s="2"/>
      <c r="X138" s="31"/>
      <c r="Y138" s="31"/>
    </row>
    <row r="139" spans="1:25" x14ac:dyDescent="0.25">
      <c r="A139" s="2"/>
      <c r="B139" s="9"/>
      <c r="C139" s="65" t="s">
        <v>67</v>
      </c>
      <c r="D139" s="73" t="s">
        <v>68</v>
      </c>
      <c r="E139" s="66" t="s">
        <v>78</v>
      </c>
      <c r="F139" s="50"/>
      <c r="G139" s="74"/>
      <c r="H139" s="75"/>
      <c r="I139" s="75"/>
      <c r="J139" s="50"/>
      <c r="K139" s="66"/>
      <c r="L139" s="50" t="s">
        <v>80</v>
      </c>
      <c r="M139" s="67"/>
      <c r="N139" s="258"/>
      <c r="O139" s="258"/>
      <c r="P139" s="258"/>
      <c r="Q139" s="2"/>
      <c r="R139" s="2"/>
      <c r="S139" s="2"/>
      <c r="T139" s="2"/>
      <c r="U139" s="2"/>
      <c r="V139" s="2"/>
      <c r="W139" s="2"/>
      <c r="X139" s="31"/>
      <c r="Y139" s="31"/>
    </row>
    <row r="140" spans="1:25" x14ac:dyDescent="0.25">
      <c r="A140" s="2"/>
      <c r="B140" s="9"/>
      <c r="C140" s="2"/>
      <c r="D140" s="2"/>
      <c r="E140" s="2"/>
      <c r="F140" s="2"/>
      <c r="G140" s="2"/>
      <c r="H140" s="2"/>
      <c r="I140" s="2"/>
      <c r="J140" s="2"/>
      <c r="K140" s="2"/>
      <c r="L140" s="2"/>
      <c r="M140" s="2"/>
      <c r="N140" s="2"/>
      <c r="O140" s="2"/>
      <c r="P140" s="2"/>
      <c r="Q140" s="2"/>
      <c r="R140" s="2"/>
      <c r="S140" s="2"/>
      <c r="T140" s="2"/>
      <c r="U140" s="2"/>
      <c r="V140" s="2"/>
      <c r="W140" s="2"/>
      <c r="X140" s="31"/>
      <c r="Y140" s="31"/>
    </row>
    <row r="141" spans="1:25" x14ac:dyDescent="0.25">
      <c r="A141" s="2"/>
      <c r="B141" s="9"/>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5">
      <c r="A142" s="2"/>
      <c r="B142" s="9"/>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5">
      <c r="A143" s="2"/>
      <c r="B143" s="9"/>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5">
      <c r="A144" s="2"/>
      <c r="B144" s="9"/>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5">
      <c r="A145" s="2"/>
      <c r="B145" s="9"/>
      <c r="C145" s="2"/>
      <c r="D145" s="2"/>
      <c r="E145" s="2"/>
      <c r="F145" s="2"/>
      <c r="G145" s="2"/>
      <c r="H145" s="2"/>
      <c r="I145" s="224"/>
      <c r="J145" s="224"/>
      <c r="K145" s="2"/>
      <c r="L145" s="2"/>
      <c r="M145" s="2"/>
      <c r="N145" s="2"/>
      <c r="O145" s="2"/>
      <c r="P145" s="2"/>
      <c r="Q145" s="2"/>
      <c r="R145" s="2"/>
      <c r="S145" s="2"/>
      <c r="T145" s="2"/>
      <c r="U145" s="2"/>
      <c r="V145" s="2"/>
      <c r="W145" s="2"/>
      <c r="X145" s="2"/>
      <c r="Y145" s="2"/>
    </row>
    <row r="146" spans="1:25" x14ac:dyDescent="0.25">
      <c r="A146" s="2"/>
      <c r="B146" s="9"/>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5">
      <c r="A147" s="2"/>
      <c r="B147" s="9"/>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5">
      <c r="A148" s="2"/>
      <c r="B148" s="9"/>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5">
      <c r="A149" s="2"/>
      <c r="B149" s="9"/>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5">
      <c r="A150" s="2"/>
      <c r="B150" s="9"/>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5">
      <c r="A151" s="2"/>
      <c r="B151" s="9"/>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5">
      <c r="A152" s="2"/>
      <c r="B152" s="9"/>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5">
      <c r="A153" s="2"/>
      <c r="B153" s="9"/>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5">
      <c r="A154" s="2"/>
      <c r="B154" s="9"/>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5">
      <c r="A155" s="2"/>
      <c r="B155" s="9"/>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5">
      <c r="A156" s="2"/>
      <c r="B156" s="9"/>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5">
      <c r="A157" s="2"/>
      <c r="B157" s="9"/>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5">
      <c r="A158" s="2"/>
      <c r="B158" s="9"/>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5">
      <c r="A159" s="2"/>
      <c r="B159" s="9"/>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5">
      <c r="A160" s="2"/>
      <c r="B160" s="9"/>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5">
      <c r="A161" s="2"/>
      <c r="B161" s="9"/>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5">
      <c r="A162" s="2"/>
      <c r="B162" s="9"/>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5">
      <c r="A163" s="2"/>
      <c r="B163" s="9"/>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5">
      <c r="A164" s="2"/>
      <c r="B164" s="9"/>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5">
      <c r="A165" s="2"/>
      <c r="B165" s="9"/>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5">
      <c r="A166" s="2"/>
      <c r="B166" s="9"/>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5">
      <c r="A167" s="2"/>
      <c r="B167" s="9"/>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5">
      <c r="A168" s="2"/>
      <c r="B168" s="9"/>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5">
      <c r="A169" s="2"/>
      <c r="B169" s="9"/>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5">
      <c r="A170" s="2"/>
      <c r="B170" s="9"/>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5">
      <c r="A171" s="2"/>
      <c r="B171" s="9"/>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5">
      <c r="A172" s="2"/>
      <c r="B172" s="9"/>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5">
      <c r="A173" s="2"/>
      <c r="B173" s="9"/>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5">
      <c r="A174" s="2"/>
      <c r="B174" s="9"/>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5">
      <c r="A175" s="2"/>
      <c r="B175" s="9"/>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5">
      <c r="A176" s="2"/>
      <c r="B176" s="9"/>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5">
      <c r="A177" s="2"/>
      <c r="B177" s="9"/>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5">
      <c r="A178" s="2"/>
      <c r="B178" s="9"/>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5">
      <c r="A179" s="2"/>
      <c r="B179" s="9"/>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5">
      <c r="A180" s="2"/>
      <c r="B180" s="9"/>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5">
      <c r="A181" s="2"/>
      <c r="B181" s="9"/>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5">
      <c r="A182" s="2"/>
      <c r="B182" s="9"/>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5">
      <c r="A183" s="2"/>
      <c r="B183" s="9"/>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5">
      <c r="A184" s="2"/>
      <c r="B184" s="9"/>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5">
      <c r="A185" s="2"/>
      <c r="B185" s="9"/>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5">
      <c r="A186" s="2"/>
      <c r="B186" s="9"/>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5">
      <c r="A187" s="2"/>
      <c r="B187" s="9"/>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5">
      <c r="A188" s="2"/>
      <c r="B188" s="9"/>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5">
      <c r="A189" s="2"/>
      <c r="B189" s="9"/>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5">
      <c r="A190" s="2"/>
      <c r="B190" s="9"/>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5">
      <c r="A191" s="2"/>
      <c r="B191" s="9"/>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5">
      <c r="A192" s="2"/>
      <c r="B192" s="9"/>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5">
      <c r="A193" s="2"/>
      <c r="B193" s="9"/>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5">
      <c r="A194" s="2"/>
      <c r="B194" s="9"/>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5">
      <c r="A195" s="2"/>
      <c r="B195" s="76" t="s">
        <v>83</v>
      </c>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5">
      <c r="A196" s="9"/>
      <c r="B196" s="9"/>
      <c r="C196" s="9" t="s">
        <v>84</v>
      </c>
      <c r="D196" s="9" t="s">
        <v>85</v>
      </c>
      <c r="E196" s="9" t="s">
        <v>86</v>
      </c>
      <c r="F196" s="9"/>
      <c r="G196" s="9"/>
      <c r="H196" s="9" t="s">
        <v>77</v>
      </c>
      <c r="I196" s="9"/>
      <c r="J196" s="9" t="s">
        <v>76</v>
      </c>
      <c r="K196" s="9"/>
      <c r="L196" s="9"/>
      <c r="M196" s="9"/>
      <c r="N196" s="9"/>
      <c r="O196" s="9"/>
      <c r="P196" s="9"/>
      <c r="Q196" s="9"/>
      <c r="R196" s="9"/>
      <c r="S196" s="9"/>
      <c r="T196" s="9"/>
      <c r="U196" s="9"/>
      <c r="V196" s="9"/>
      <c r="W196" s="9"/>
      <c r="X196" s="9"/>
      <c r="Y196" s="9"/>
    </row>
    <row r="197" spans="1:25" x14ac:dyDescent="0.25">
      <c r="A197" s="2"/>
      <c r="B197" s="9"/>
      <c r="C197" s="77" t="s">
        <v>80</v>
      </c>
      <c r="D197" s="77" t="s">
        <v>80</v>
      </c>
      <c r="E197" s="77" t="s">
        <v>80</v>
      </c>
      <c r="F197" s="2"/>
      <c r="G197" s="2"/>
      <c r="H197" s="77" t="s">
        <v>80</v>
      </c>
      <c r="I197" s="2"/>
      <c r="J197" s="2"/>
      <c r="K197" s="2"/>
      <c r="L197" s="2"/>
      <c r="M197" s="2"/>
      <c r="N197" s="2"/>
      <c r="O197" s="2"/>
      <c r="P197" s="2"/>
      <c r="Q197" s="2"/>
      <c r="R197" s="2"/>
      <c r="S197" s="2"/>
      <c r="T197" s="2"/>
      <c r="U197" s="2"/>
      <c r="V197" s="2"/>
      <c r="W197" s="2"/>
      <c r="X197" s="2"/>
      <c r="Y197" s="2"/>
    </row>
    <row r="198" spans="1:25" x14ac:dyDescent="0.25">
      <c r="A198" s="2"/>
      <c r="B198" s="9"/>
      <c r="C198" s="17" t="s">
        <v>87</v>
      </c>
      <c r="D198" s="2" t="s">
        <v>88</v>
      </c>
      <c r="E198" s="2" t="s">
        <v>89</v>
      </c>
      <c r="F198" s="2"/>
      <c r="G198" s="2"/>
      <c r="H198" s="2" t="s">
        <v>90</v>
      </c>
      <c r="I198" s="2"/>
      <c r="J198" s="2" t="s">
        <v>91</v>
      </c>
      <c r="K198" s="2"/>
      <c r="L198" s="2"/>
      <c r="M198" s="2"/>
      <c r="N198" s="2"/>
      <c r="O198" s="2"/>
      <c r="P198" s="2"/>
      <c r="Q198" s="2"/>
      <c r="R198" s="2"/>
      <c r="S198" s="2"/>
      <c r="T198" s="2"/>
      <c r="U198" s="2"/>
      <c r="V198" s="2"/>
      <c r="W198" s="2"/>
      <c r="X198" s="2"/>
      <c r="Y198" s="2"/>
    </row>
    <row r="199" spans="1:25" x14ac:dyDescent="0.25">
      <c r="A199" s="2"/>
      <c r="B199" s="9"/>
      <c r="C199" s="2" t="s">
        <v>92</v>
      </c>
      <c r="D199" s="2" t="s">
        <v>93</v>
      </c>
      <c r="E199" s="2" t="s">
        <v>94</v>
      </c>
      <c r="F199" s="2"/>
      <c r="G199" s="2"/>
      <c r="H199" s="2" t="s">
        <v>95</v>
      </c>
      <c r="I199" s="2"/>
      <c r="J199" s="2" t="s">
        <v>96</v>
      </c>
      <c r="K199" s="2"/>
      <c r="L199" s="2"/>
      <c r="M199" s="2"/>
      <c r="N199" s="2"/>
      <c r="O199" s="2"/>
      <c r="P199" s="2"/>
      <c r="Q199" s="2"/>
      <c r="R199" s="2"/>
      <c r="S199" s="2"/>
      <c r="T199" s="2"/>
      <c r="U199" s="2"/>
      <c r="V199" s="2"/>
      <c r="W199" s="2"/>
      <c r="X199" s="2"/>
      <c r="Y199" s="2"/>
    </row>
    <row r="200" spans="1:25" x14ac:dyDescent="0.25">
      <c r="A200" s="2"/>
      <c r="B200" s="9"/>
      <c r="C200" s="2" t="s">
        <v>97</v>
      </c>
      <c r="D200" s="2" t="s">
        <v>98</v>
      </c>
      <c r="E200" s="2" t="s">
        <v>99</v>
      </c>
      <c r="F200" s="2"/>
      <c r="G200" s="2"/>
      <c r="H200" s="2" t="s">
        <v>100</v>
      </c>
      <c r="I200" s="2"/>
      <c r="J200" s="2"/>
      <c r="K200" s="2"/>
      <c r="L200" s="2"/>
      <c r="M200" s="2"/>
      <c r="N200" s="2"/>
      <c r="O200" s="2"/>
      <c r="P200" s="2"/>
      <c r="Q200" s="2"/>
      <c r="R200" s="2"/>
      <c r="S200" s="2"/>
      <c r="T200" s="2"/>
      <c r="U200" s="2"/>
      <c r="V200" s="2"/>
      <c r="W200" s="2"/>
      <c r="X200" s="2"/>
      <c r="Y200" s="2"/>
    </row>
    <row r="201" spans="1:25" x14ac:dyDescent="0.25">
      <c r="A201" s="2"/>
      <c r="B201" s="9"/>
      <c r="C201" s="2" t="s">
        <v>101</v>
      </c>
      <c r="D201" s="2" t="s">
        <v>102</v>
      </c>
      <c r="E201" s="2" t="s">
        <v>103</v>
      </c>
      <c r="F201" s="2"/>
      <c r="G201" s="2"/>
      <c r="H201" s="2" t="s">
        <v>104</v>
      </c>
      <c r="I201" s="2"/>
      <c r="J201" s="2"/>
      <c r="K201" s="2"/>
      <c r="L201" s="2"/>
      <c r="M201" s="2"/>
      <c r="N201" s="2"/>
      <c r="O201" s="2"/>
      <c r="P201" s="2"/>
      <c r="Q201" s="2"/>
      <c r="R201" s="2"/>
      <c r="S201" s="2"/>
      <c r="T201" s="2"/>
      <c r="U201" s="2"/>
      <c r="V201" s="2"/>
      <c r="W201" s="2"/>
      <c r="X201" s="2"/>
      <c r="Y201" s="2"/>
    </row>
    <row r="202" spans="1:25" x14ac:dyDescent="0.25">
      <c r="A202" s="2"/>
      <c r="B202" s="9"/>
      <c r="C202" s="2" t="s">
        <v>105</v>
      </c>
      <c r="D202" s="2"/>
      <c r="E202" s="2" t="s">
        <v>106</v>
      </c>
      <c r="F202" s="2"/>
      <c r="G202" s="2"/>
      <c r="H202" s="2" t="s">
        <v>106</v>
      </c>
      <c r="I202" s="2"/>
      <c r="J202" s="2"/>
      <c r="K202" s="2"/>
      <c r="L202" s="2"/>
      <c r="M202" s="2"/>
      <c r="N202" s="2"/>
      <c r="O202" s="2"/>
      <c r="P202" s="2"/>
      <c r="Q202" s="2"/>
      <c r="R202" s="2"/>
      <c r="S202" s="2"/>
      <c r="T202" s="2"/>
      <c r="U202" s="2"/>
      <c r="V202" s="2"/>
      <c r="W202" s="2"/>
      <c r="X202" s="2"/>
      <c r="Y202" s="2"/>
    </row>
    <row r="203" spans="1:25" x14ac:dyDescent="0.25">
      <c r="A203" s="2"/>
      <c r="B203" s="9"/>
      <c r="C203" s="2" t="s">
        <v>107</v>
      </c>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5">
      <c r="A204" s="2"/>
      <c r="B204" s="9"/>
      <c r="C204" s="2" t="s">
        <v>108</v>
      </c>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5">
      <c r="A205" s="2"/>
      <c r="B205" s="9"/>
      <c r="C205" s="2" t="s">
        <v>109</v>
      </c>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5">
      <c r="A206" s="2"/>
      <c r="B206" s="9"/>
      <c r="C206" s="17" t="s">
        <v>110</v>
      </c>
      <c r="D206" s="2"/>
      <c r="E206" s="2"/>
      <c r="F206" s="2"/>
      <c r="G206" s="2"/>
      <c r="H206" s="2"/>
      <c r="I206" s="2"/>
      <c r="J206" s="2"/>
      <c r="K206" s="2"/>
      <c r="L206" s="2"/>
      <c r="M206" s="2"/>
      <c r="N206" s="2"/>
      <c r="O206" s="2"/>
      <c r="P206" s="2"/>
      <c r="Q206" s="2"/>
      <c r="R206" s="2"/>
      <c r="S206" s="2"/>
      <c r="T206" s="2"/>
      <c r="U206" s="2"/>
      <c r="V206" s="2"/>
      <c r="W206" s="2"/>
      <c r="X206" s="2"/>
      <c r="Y206" s="2"/>
    </row>
  </sheetData>
  <sheetProtection formatCells="0" formatRows="0" insertRows="0" insertHyperlinks="0" deleteRows="0" selectLockedCells="1"/>
  <mergeCells count="139">
    <mergeCell ref="J38:P38"/>
    <mergeCell ref="J41:P41"/>
    <mergeCell ref="J39:P39"/>
    <mergeCell ref="J40:P40"/>
    <mergeCell ref="J42:P42"/>
    <mergeCell ref="J25:P25"/>
    <mergeCell ref="J31:P31"/>
    <mergeCell ref="J28:P28"/>
    <mergeCell ref="J30:P30"/>
    <mergeCell ref="J29:P29"/>
    <mergeCell ref="J26:P26"/>
    <mergeCell ref="J27:P27"/>
    <mergeCell ref="J32:P32"/>
    <mergeCell ref="J33:P33"/>
    <mergeCell ref="B1:Q1"/>
    <mergeCell ref="B2:Q2"/>
    <mergeCell ref="B4:C4"/>
    <mergeCell ref="B5:C5"/>
    <mergeCell ref="G5:J5"/>
    <mergeCell ref="J37:P37"/>
    <mergeCell ref="B12:C12"/>
    <mergeCell ref="D12:E12"/>
    <mergeCell ref="J23:P23"/>
    <mergeCell ref="J34:P34"/>
    <mergeCell ref="B20:P20"/>
    <mergeCell ref="J22:P22"/>
    <mergeCell ref="B6:C6"/>
    <mergeCell ref="D6:O6"/>
    <mergeCell ref="B8:P8"/>
    <mergeCell ref="B10:C10"/>
    <mergeCell ref="D10:E10"/>
    <mergeCell ref="B15:C15"/>
    <mergeCell ref="D15:E15"/>
    <mergeCell ref="B16:C16"/>
    <mergeCell ref="D16:E16"/>
    <mergeCell ref="B17:C17"/>
    <mergeCell ref="D17:E17"/>
    <mergeCell ref="J35:P35"/>
    <mergeCell ref="J71:P71"/>
    <mergeCell ref="B11:C11"/>
    <mergeCell ref="D11:E11"/>
    <mergeCell ref="J24:P24"/>
    <mergeCell ref="B13:C13"/>
    <mergeCell ref="D13:E13"/>
    <mergeCell ref="G13:O16"/>
    <mergeCell ref="B14:C14"/>
    <mergeCell ref="D14:E14"/>
    <mergeCell ref="J52:P52"/>
    <mergeCell ref="J53:P53"/>
    <mergeCell ref="J54:P54"/>
    <mergeCell ref="J55:P55"/>
    <mergeCell ref="J56:P56"/>
    <mergeCell ref="J58:P58"/>
    <mergeCell ref="J45:P45"/>
    <mergeCell ref="J46:P46"/>
    <mergeCell ref="J47:P47"/>
    <mergeCell ref="J48:P48"/>
    <mergeCell ref="J43:P43"/>
    <mergeCell ref="J50:P50"/>
    <mergeCell ref="J44:P44"/>
    <mergeCell ref="J49:P49"/>
    <mergeCell ref="J36:P36"/>
    <mergeCell ref="B116:P116"/>
    <mergeCell ref="N119:P119"/>
    <mergeCell ref="N118:P118"/>
    <mergeCell ref="J74:P74"/>
    <mergeCell ref="J75:P75"/>
    <mergeCell ref="J76:P76"/>
    <mergeCell ref="J77:P77"/>
    <mergeCell ref="J78:P78"/>
    <mergeCell ref="J112:P112"/>
    <mergeCell ref="J105:P105"/>
    <mergeCell ref="J106:P106"/>
    <mergeCell ref="J110:P110"/>
    <mergeCell ref="J91:P91"/>
    <mergeCell ref="N121:P121"/>
    <mergeCell ref="J59:P59"/>
    <mergeCell ref="J60:P60"/>
    <mergeCell ref="J61:P61"/>
    <mergeCell ref="J62:P62"/>
    <mergeCell ref="J63:P63"/>
    <mergeCell ref="J64:P64"/>
    <mergeCell ref="J65:P65"/>
    <mergeCell ref="N120:P120"/>
    <mergeCell ref="J70:P70"/>
    <mergeCell ref="J69:P69"/>
    <mergeCell ref="J66:P66"/>
    <mergeCell ref="J67:P67"/>
    <mergeCell ref="J68:P68"/>
    <mergeCell ref="J94:P94"/>
    <mergeCell ref="J95:P95"/>
    <mergeCell ref="J89:P89"/>
    <mergeCell ref="J90:P90"/>
    <mergeCell ref="J104:P104"/>
    <mergeCell ref="J107:P107"/>
    <mergeCell ref="J108:P108"/>
    <mergeCell ref="J109:P109"/>
    <mergeCell ref="J111:P111"/>
    <mergeCell ref="J113:P113"/>
    <mergeCell ref="N138:P138"/>
    <mergeCell ref="N139:P139"/>
    <mergeCell ref="N131:P131"/>
    <mergeCell ref="N122:P122"/>
    <mergeCell ref="N125:P125"/>
    <mergeCell ref="N126:P126"/>
    <mergeCell ref="B128:P128"/>
    <mergeCell ref="N130:P130"/>
    <mergeCell ref="N132:P132"/>
    <mergeCell ref="N137:P137"/>
    <mergeCell ref="N136:P136"/>
    <mergeCell ref="N124:P124"/>
    <mergeCell ref="N133:P133"/>
    <mergeCell ref="N123:P123"/>
    <mergeCell ref="N134:P134"/>
    <mergeCell ref="N135:P135"/>
    <mergeCell ref="J51:P51"/>
    <mergeCell ref="J86:P86"/>
    <mergeCell ref="J87:P87"/>
    <mergeCell ref="J83:P83"/>
    <mergeCell ref="J84:P84"/>
    <mergeCell ref="J72:P72"/>
    <mergeCell ref="J73:P73"/>
    <mergeCell ref="J103:P103"/>
    <mergeCell ref="J101:P101"/>
    <mergeCell ref="J102:P102"/>
    <mergeCell ref="J79:P79"/>
    <mergeCell ref="J57:P57"/>
    <mergeCell ref="J80:P80"/>
    <mergeCell ref="J81:P81"/>
    <mergeCell ref="J82:P82"/>
    <mergeCell ref="J85:P85"/>
    <mergeCell ref="J88:P88"/>
    <mergeCell ref="J92:P92"/>
    <mergeCell ref="J96:P96"/>
    <mergeCell ref="J97:P97"/>
    <mergeCell ref="J98:P98"/>
    <mergeCell ref="J99:P99"/>
    <mergeCell ref="J100:P100"/>
    <mergeCell ref="J93:P93"/>
  </mergeCells>
  <conditionalFormatting sqref="H131:H139 H119:H125">
    <cfRule type="cellIs" dxfId="6" priority="2" stopIfTrue="1" operator="equal">
      <formula>0</formula>
    </cfRule>
  </conditionalFormatting>
  <conditionalFormatting sqref="G131:G139 G119:G125">
    <cfRule type="cellIs" dxfId="5" priority="1" stopIfTrue="1" operator="equal">
      <formula>1</formula>
    </cfRule>
  </conditionalFormatting>
  <dataValidations disablePrompts="1" count="7">
    <dataValidation type="list" allowBlank="1" showInputMessage="1" showErrorMessage="1" sqref="L131:L138 L119:L125">
      <formula1>$H$197:$H$202</formula1>
    </dataValidation>
    <dataValidation type="list" allowBlank="1" showInputMessage="1" showErrorMessage="1" sqref="K131:K138 K119:K125">
      <formula1>$J$197:$J$199</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$C$197:$C$206</formula1>
    </dataValidation>
    <dataValidation type="list" allowBlank="1" showInputMessage="1" showErrorMessage="1" sqref="D14:E14">
      <formula1>$D$197:$D$201</formula1>
    </dataValidation>
    <dataValidation type="list" allowBlank="1" showInputMessage="1" showErrorMessage="1" sqref="D16:E16">
      <formula1>$E$197:$E$202</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heetViews>
  <sheetFormatPr defaultColWidth="36.85546875" defaultRowHeight="12.75" customHeight="1" x14ac:dyDescent="0.25"/>
  <cols>
    <col min="1" max="1" width="18.5703125" style="133" customWidth="1"/>
    <col min="2" max="10" width="31.42578125" style="132" customWidth="1"/>
    <col min="11" max="27" width="36.85546875" style="132" customWidth="1"/>
    <col min="28" max="28" width="37" style="132" customWidth="1"/>
    <col min="29" max="35" width="36.85546875" style="132" customWidth="1"/>
    <col min="36" max="44" width="36.85546875" style="133" customWidth="1"/>
    <col min="45" max="45" width="37.140625" style="133" customWidth="1"/>
    <col min="46" max="47" width="36.85546875" style="133" customWidth="1"/>
    <col min="48" max="48" width="36.5703125" style="133" customWidth="1"/>
    <col min="49" max="50" width="36.85546875" style="133" customWidth="1"/>
    <col min="51" max="51" width="36.5703125" style="133" customWidth="1"/>
    <col min="52" max="52" width="37" style="133" customWidth="1"/>
    <col min="53" max="71" width="36.85546875" style="133" customWidth="1"/>
    <col min="72" max="72" width="37" style="133" customWidth="1"/>
    <col min="73" max="90" width="36.85546875" style="133" customWidth="1"/>
    <col min="91" max="91" width="36.5703125" style="133" customWidth="1"/>
    <col min="92" max="104" width="36.85546875" style="133" customWidth="1"/>
    <col min="105" max="105" width="36.5703125" style="133" customWidth="1"/>
    <col min="106" max="108" width="36.85546875" style="133" customWidth="1"/>
    <col min="109" max="109" width="36.5703125" style="133" customWidth="1"/>
    <col min="110" max="117" width="36.85546875" style="133" customWidth="1"/>
    <col min="118" max="118" width="36.5703125" style="133" customWidth="1"/>
    <col min="119" max="16384" width="36.85546875" style="133"/>
  </cols>
  <sheetData>
    <row r="1" spans="1:245" s="85" customFormat="1" ht="12.75" customHeight="1" x14ac:dyDescent="0.25">
      <c r="A1" s="81" t="s">
        <v>111</v>
      </c>
      <c r="B1" s="82"/>
      <c r="C1" s="83"/>
      <c r="D1" s="83"/>
      <c r="E1" s="83"/>
      <c r="F1" s="83"/>
      <c r="G1" s="83"/>
      <c r="H1" s="83"/>
      <c r="I1" s="83"/>
      <c r="J1" s="83"/>
      <c r="K1" s="84"/>
      <c r="L1" s="84"/>
      <c r="M1" s="84"/>
      <c r="N1" s="84"/>
      <c r="O1" s="84"/>
      <c r="P1" s="84"/>
      <c r="Q1" s="84"/>
      <c r="R1" s="84"/>
      <c r="S1" s="84"/>
      <c r="T1" s="84"/>
      <c r="U1" s="84"/>
      <c r="V1" s="84"/>
      <c r="W1" s="84"/>
      <c r="X1" s="84"/>
      <c r="Y1" s="84"/>
      <c r="Z1" s="84"/>
      <c r="AA1" s="84"/>
      <c r="AB1" s="84"/>
      <c r="AC1" s="84"/>
      <c r="AD1" s="84"/>
      <c r="AE1" s="84"/>
      <c r="AF1" s="84"/>
      <c r="AG1" s="84"/>
      <c r="AH1" s="84"/>
      <c r="AI1" s="84"/>
    </row>
    <row r="2" spans="1:245" s="89" customFormat="1" ht="12.75" customHeight="1" x14ac:dyDescent="0.25">
      <c r="A2" s="86" t="s">
        <v>112</v>
      </c>
      <c r="B2" s="87">
        <v>1</v>
      </c>
      <c r="C2" s="87">
        <v>2</v>
      </c>
      <c r="D2" s="87">
        <v>3</v>
      </c>
      <c r="E2" s="87">
        <v>4</v>
      </c>
      <c r="F2" s="87">
        <v>5</v>
      </c>
      <c r="G2" s="87">
        <v>6</v>
      </c>
      <c r="H2" s="87">
        <v>7</v>
      </c>
      <c r="I2" s="87">
        <v>8</v>
      </c>
      <c r="J2" s="87">
        <v>9</v>
      </c>
      <c r="K2" s="87"/>
      <c r="L2" s="87"/>
      <c r="M2" s="87"/>
      <c r="N2" s="87"/>
      <c r="O2" s="87"/>
      <c r="P2" s="87"/>
      <c r="Q2" s="87"/>
      <c r="R2" s="87"/>
      <c r="S2" s="87"/>
      <c r="T2" s="87"/>
      <c r="U2" s="87"/>
      <c r="V2" s="87"/>
      <c r="W2" s="87"/>
      <c r="X2" s="87"/>
      <c r="Y2" s="87"/>
      <c r="Z2" s="87"/>
      <c r="AA2" s="87"/>
      <c r="AB2" s="87"/>
      <c r="AC2" s="87"/>
      <c r="AD2" s="87"/>
      <c r="AE2" s="87"/>
      <c r="AF2" s="87"/>
      <c r="AG2" s="87"/>
      <c r="AH2" s="87"/>
      <c r="AI2" s="87"/>
      <c r="AJ2" s="88"/>
      <c r="AK2" s="88" t="str">
        <f t="shared" ref="AK2:CV2" si="0">IF(AK3="","",AJ2+1)</f>
        <v/>
      </c>
      <c r="AL2" s="88" t="str">
        <f t="shared" si="0"/>
        <v/>
      </c>
      <c r="AM2" s="88" t="str">
        <f t="shared" si="0"/>
        <v/>
      </c>
      <c r="AN2" s="88" t="str">
        <f t="shared" si="0"/>
        <v/>
      </c>
      <c r="AO2" s="88" t="str">
        <f t="shared" si="0"/>
        <v/>
      </c>
      <c r="AP2" s="88" t="str">
        <f t="shared" si="0"/>
        <v/>
      </c>
      <c r="AQ2" s="88" t="str">
        <f t="shared" si="0"/>
        <v/>
      </c>
      <c r="AR2" s="88" t="str">
        <f t="shared" si="0"/>
        <v/>
      </c>
      <c r="AS2" s="88" t="str">
        <f t="shared" si="0"/>
        <v/>
      </c>
      <c r="AT2" s="88" t="str">
        <f t="shared" si="0"/>
        <v/>
      </c>
      <c r="AU2" s="88" t="str">
        <f t="shared" si="0"/>
        <v/>
      </c>
      <c r="AV2" s="88" t="str">
        <f t="shared" si="0"/>
        <v/>
      </c>
      <c r="AW2" s="88" t="str">
        <f t="shared" si="0"/>
        <v/>
      </c>
      <c r="AX2" s="88" t="str">
        <f t="shared" si="0"/>
        <v/>
      </c>
      <c r="AY2" s="88" t="str">
        <f t="shared" si="0"/>
        <v/>
      </c>
      <c r="AZ2" s="88" t="str">
        <f t="shared" si="0"/>
        <v/>
      </c>
      <c r="BA2" s="88" t="str">
        <f t="shared" si="0"/>
        <v/>
      </c>
      <c r="BB2" s="88" t="str">
        <f t="shared" si="0"/>
        <v/>
      </c>
      <c r="BC2" s="88" t="str">
        <f t="shared" si="0"/>
        <v/>
      </c>
      <c r="BD2" s="88" t="str">
        <f t="shared" si="0"/>
        <v/>
      </c>
      <c r="BE2" s="88" t="str">
        <f t="shared" si="0"/>
        <v/>
      </c>
      <c r="BF2" s="88" t="str">
        <f t="shared" si="0"/>
        <v/>
      </c>
      <c r="BG2" s="88" t="str">
        <f t="shared" si="0"/>
        <v/>
      </c>
      <c r="BH2" s="88" t="str">
        <f t="shared" si="0"/>
        <v/>
      </c>
      <c r="BI2" s="88" t="str">
        <f t="shared" si="0"/>
        <v/>
      </c>
      <c r="BJ2" s="88" t="str">
        <f t="shared" si="0"/>
        <v/>
      </c>
      <c r="BK2" s="88" t="str">
        <f t="shared" si="0"/>
        <v/>
      </c>
      <c r="BL2" s="88" t="str">
        <f t="shared" si="0"/>
        <v/>
      </c>
      <c r="BM2" s="88" t="str">
        <f t="shared" si="0"/>
        <v/>
      </c>
      <c r="BN2" s="88" t="str">
        <f t="shared" si="0"/>
        <v/>
      </c>
      <c r="BO2" s="88" t="str">
        <f t="shared" si="0"/>
        <v/>
      </c>
      <c r="BP2" s="88" t="str">
        <f t="shared" si="0"/>
        <v/>
      </c>
      <c r="BQ2" s="88" t="str">
        <f t="shared" si="0"/>
        <v/>
      </c>
      <c r="BR2" s="88" t="str">
        <f t="shared" si="0"/>
        <v/>
      </c>
      <c r="BS2" s="88" t="str">
        <f t="shared" si="0"/>
        <v/>
      </c>
      <c r="BT2" s="88" t="str">
        <f t="shared" si="0"/>
        <v/>
      </c>
      <c r="BU2" s="88" t="str">
        <f t="shared" si="0"/>
        <v/>
      </c>
      <c r="BV2" s="88" t="str">
        <f t="shared" si="0"/>
        <v/>
      </c>
      <c r="BW2" s="88" t="str">
        <f t="shared" si="0"/>
        <v/>
      </c>
      <c r="BX2" s="88" t="str">
        <f t="shared" si="0"/>
        <v/>
      </c>
      <c r="BY2" s="88" t="str">
        <f t="shared" si="0"/>
        <v/>
      </c>
      <c r="BZ2" s="88" t="str">
        <f t="shared" si="0"/>
        <v/>
      </c>
      <c r="CA2" s="88" t="str">
        <f t="shared" si="0"/>
        <v/>
      </c>
      <c r="CB2" s="88" t="str">
        <f t="shared" si="0"/>
        <v/>
      </c>
      <c r="CC2" s="88" t="str">
        <f t="shared" si="0"/>
        <v/>
      </c>
      <c r="CD2" s="88" t="str">
        <f t="shared" si="0"/>
        <v/>
      </c>
      <c r="CE2" s="88" t="str">
        <f t="shared" si="0"/>
        <v/>
      </c>
      <c r="CF2" s="88" t="str">
        <f t="shared" si="0"/>
        <v/>
      </c>
      <c r="CG2" s="88" t="str">
        <f t="shared" si="0"/>
        <v/>
      </c>
      <c r="CH2" s="88" t="str">
        <f t="shared" si="0"/>
        <v/>
      </c>
      <c r="CI2" s="88" t="str">
        <f t="shared" si="0"/>
        <v/>
      </c>
      <c r="CJ2" s="88" t="str">
        <f t="shared" si="0"/>
        <v/>
      </c>
      <c r="CK2" s="88" t="str">
        <f t="shared" si="0"/>
        <v/>
      </c>
      <c r="CL2" s="88" t="str">
        <f t="shared" si="0"/>
        <v/>
      </c>
      <c r="CM2" s="88" t="str">
        <f t="shared" si="0"/>
        <v/>
      </c>
      <c r="CN2" s="88" t="str">
        <f t="shared" si="0"/>
        <v/>
      </c>
      <c r="CO2" s="88" t="str">
        <f t="shared" si="0"/>
        <v/>
      </c>
      <c r="CP2" s="88" t="str">
        <f t="shared" si="0"/>
        <v/>
      </c>
      <c r="CQ2" s="88" t="str">
        <f t="shared" si="0"/>
        <v/>
      </c>
      <c r="CR2" s="88" t="str">
        <f t="shared" si="0"/>
        <v/>
      </c>
      <c r="CS2" s="88" t="str">
        <f t="shared" si="0"/>
        <v/>
      </c>
      <c r="CT2" s="88" t="str">
        <f t="shared" si="0"/>
        <v/>
      </c>
      <c r="CU2" s="88" t="str">
        <f t="shared" si="0"/>
        <v/>
      </c>
      <c r="CV2" s="88" t="str">
        <f t="shared" si="0"/>
        <v/>
      </c>
      <c r="CW2" s="88" t="str">
        <f t="shared" ref="CW2:FH2" si="1">IF(CW3="","",CV2+1)</f>
        <v/>
      </c>
      <c r="CX2" s="88" t="str">
        <f t="shared" si="1"/>
        <v/>
      </c>
      <c r="CY2" s="88" t="str">
        <f t="shared" si="1"/>
        <v/>
      </c>
      <c r="CZ2" s="88" t="str">
        <f t="shared" si="1"/>
        <v/>
      </c>
      <c r="DA2" s="88" t="str">
        <f t="shared" si="1"/>
        <v/>
      </c>
      <c r="DB2" s="88" t="str">
        <f t="shared" si="1"/>
        <v/>
      </c>
      <c r="DC2" s="88" t="str">
        <f t="shared" si="1"/>
        <v/>
      </c>
      <c r="DD2" s="88" t="str">
        <f t="shared" si="1"/>
        <v/>
      </c>
      <c r="DE2" s="88" t="str">
        <f t="shared" si="1"/>
        <v/>
      </c>
      <c r="DF2" s="88" t="str">
        <f t="shared" si="1"/>
        <v/>
      </c>
      <c r="DG2" s="88" t="str">
        <f t="shared" si="1"/>
        <v/>
      </c>
      <c r="DH2" s="88" t="str">
        <f t="shared" si="1"/>
        <v/>
      </c>
      <c r="DI2" s="88" t="str">
        <f t="shared" si="1"/>
        <v/>
      </c>
      <c r="DJ2" s="88" t="str">
        <f t="shared" si="1"/>
        <v/>
      </c>
      <c r="DK2" s="88" t="str">
        <f t="shared" si="1"/>
        <v/>
      </c>
      <c r="DL2" s="88" t="str">
        <f t="shared" si="1"/>
        <v/>
      </c>
      <c r="DM2" s="88" t="str">
        <f t="shared" si="1"/>
        <v/>
      </c>
      <c r="DN2" s="88" t="str">
        <f t="shared" si="1"/>
        <v/>
      </c>
      <c r="DO2" s="88" t="str">
        <f t="shared" si="1"/>
        <v/>
      </c>
      <c r="DP2" s="88" t="str">
        <f t="shared" si="1"/>
        <v/>
      </c>
      <c r="DQ2" s="88" t="str">
        <f t="shared" si="1"/>
        <v/>
      </c>
      <c r="DR2" s="88" t="str">
        <f t="shared" si="1"/>
        <v/>
      </c>
      <c r="DS2" s="88" t="str">
        <f t="shared" si="1"/>
        <v/>
      </c>
      <c r="DT2" s="88" t="str">
        <f t="shared" si="1"/>
        <v/>
      </c>
      <c r="DU2" s="88" t="str">
        <f t="shared" si="1"/>
        <v/>
      </c>
      <c r="DV2" s="88" t="str">
        <f t="shared" si="1"/>
        <v/>
      </c>
      <c r="DW2" s="88" t="str">
        <f t="shared" si="1"/>
        <v/>
      </c>
      <c r="DX2" s="88" t="str">
        <f t="shared" si="1"/>
        <v/>
      </c>
      <c r="DY2" s="88" t="str">
        <f t="shared" si="1"/>
        <v/>
      </c>
      <c r="DZ2" s="88" t="str">
        <f t="shared" si="1"/>
        <v/>
      </c>
      <c r="EA2" s="88" t="str">
        <f t="shared" si="1"/>
        <v/>
      </c>
      <c r="EB2" s="88" t="str">
        <f t="shared" si="1"/>
        <v/>
      </c>
      <c r="EC2" s="88" t="str">
        <f t="shared" si="1"/>
        <v/>
      </c>
      <c r="ED2" s="88" t="str">
        <f t="shared" si="1"/>
        <v/>
      </c>
      <c r="EE2" s="88" t="str">
        <f t="shared" si="1"/>
        <v/>
      </c>
      <c r="EF2" s="88" t="str">
        <f t="shared" si="1"/>
        <v/>
      </c>
      <c r="EG2" s="88" t="str">
        <f t="shared" si="1"/>
        <v/>
      </c>
      <c r="EH2" s="88" t="str">
        <f t="shared" si="1"/>
        <v/>
      </c>
      <c r="EI2" s="88" t="str">
        <f t="shared" si="1"/>
        <v/>
      </c>
      <c r="EJ2" s="88" t="str">
        <f t="shared" si="1"/>
        <v/>
      </c>
      <c r="EK2" s="88" t="str">
        <f t="shared" si="1"/>
        <v/>
      </c>
      <c r="EL2" s="88" t="str">
        <f t="shared" si="1"/>
        <v/>
      </c>
      <c r="EM2" s="88" t="str">
        <f t="shared" si="1"/>
        <v/>
      </c>
      <c r="EN2" s="88" t="str">
        <f t="shared" si="1"/>
        <v/>
      </c>
      <c r="EO2" s="88" t="str">
        <f t="shared" si="1"/>
        <v/>
      </c>
      <c r="EP2" s="88" t="str">
        <f t="shared" si="1"/>
        <v/>
      </c>
      <c r="EQ2" s="88" t="str">
        <f t="shared" si="1"/>
        <v/>
      </c>
      <c r="ER2" s="88" t="str">
        <f t="shared" si="1"/>
        <v/>
      </c>
      <c r="ES2" s="88" t="str">
        <f t="shared" si="1"/>
        <v/>
      </c>
      <c r="ET2" s="88" t="str">
        <f t="shared" si="1"/>
        <v/>
      </c>
      <c r="EU2" s="88" t="str">
        <f t="shared" si="1"/>
        <v/>
      </c>
      <c r="EV2" s="88" t="str">
        <f t="shared" si="1"/>
        <v/>
      </c>
      <c r="EW2" s="88" t="str">
        <f t="shared" si="1"/>
        <v/>
      </c>
      <c r="EX2" s="88" t="str">
        <f t="shared" si="1"/>
        <v/>
      </c>
      <c r="EY2" s="88" t="str">
        <f t="shared" si="1"/>
        <v/>
      </c>
      <c r="EZ2" s="88" t="str">
        <f t="shared" si="1"/>
        <v/>
      </c>
      <c r="FA2" s="88" t="str">
        <f t="shared" si="1"/>
        <v/>
      </c>
      <c r="FB2" s="88" t="str">
        <f t="shared" si="1"/>
        <v/>
      </c>
      <c r="FC2" s="88" t="str">
        <f t="shared" si="1"/>
        <v/>
      </c>
      <c r="FD2" s="88" t="str">
        <f t="shared" si="1"/>
        <v/>
      </c>
      <c r="FE2" s="88" t="str">
        <f t="shared" si="1"/>
        <v/>
      </c>
      <c r="FF2" s="88" t="str">
        <f t="shared" si="1"/>
        <v/>
      </c>
      <c r="FG2" s="88" t="str">
        <f t="shared" si="1"/>
        <v/>
      </c>
      <c r="FH2" s="88" t="str">
        <f t="shared" si="1"/>
        <v/>
      </c>
      <c r="FI2" s="88" t="str">
        <f t="shared" ref="FI2:HT2" si="2">IF(FI3="","",FH2+1)</f>
        <v/>
      </c>
      <c r="FJ2" s="88" t="str">
        <f t="shared" si="2"/>
        <v/>
      </c>
      <c r="FK2" s="88" t="str">
        <f t="shared" si="2"/>
        <v/>
      </c>
      <c r="FL2" s="88" t="str">
        <f t="shared" si="2"/>
        <v/>
      </c>
      <c r="FM2" s="88" t="str">
        <f t="shared" si="2"/>
        <v/>
      </c>
      <c r="FN2" s="88" t="str">
        <f t="shared" si="2"/>
        <v/>
      </c>
      <c r="FO2" s="88" t="str">
        <f t="shared" si="2"/>
        <v/>
      </c>
      <c r="FP2" s="88" t="str">
        <f t="shared" si="2"/>
        <v/>
      </c>
      <c r="FQ2" s="88" t="str">
        <f t="shared" si="2"/>
        <v/>
      </c>
      <c r="FR2" s="88" t="str">
        <f t="shared" si="2"/>
        <v/>
      </c>
      <c r="FS2" s="88" t="str">
        <f t="shared" si="2"/>
        <v/>
      </c>
      <c r="FT2" s="88" t="str">
        <f t="shared" si="2"/>
        <v/>
      </c>
      <c r="FU2" s="88" t="str">
        <f t="shared" si="2"/>
        <v/>
      </c>
      <c r="FV2" s="88" t="str">
        <f t="shared" si="2"/>
        <v/>
      </c>
      <c r="FW2" s="88" t="str">
        <f t="shared" si="2"/>
        <v/>
      </c>
      <c r="FX2" s="88" t="str">
        <f t="shared" si="2"/>
        <v/>
      </c>
      <c r="FY2" s="88" t="str">
        <f t="shared" si="2"/>
        <v/>
      </c>
      <c r="FZ2" s="88" t="str">
        <f t="shared" si="2"/>
        <v/>
      </c>
      <c r="GA2" s="88" t="str">
        <f t="shared" si="2"/>
        <v/>
      </c>
      <c r="GB2" s="88" t="str">
        <f t="shared" si="2"/>
        <v/>
      </c>
      <c r="GC2" s="88" t="str">
        <f t="shared" si="2"/>
        <v/>
      </c>
      <c r="GD2" s="88" t="str">
        <f t="shared" si="2"/>
        <v/>
      </c>
      <c r="GE2" s="88" t="str">
        <f t="shared" si="2"/>
        <v/>
      </c>
      <c r="GF2" s="88" t="str">
        <f t="shared" si="2"/>
        <v/>
      </c>
      <c r="GG2" s="88" t="str">
        <f t="shared" si="2"/>
        <v/>
      </c>
      <c r="GH2" s="88" t="str">
        <f t="shared" si="2"/>
        <v/>
      </c>
      <c r="GI2" s="88" t="str">
        <f t="shared" si="2"/>
        <v/>
      </c>
      <c r="GJ2" s="88" t="str">
        <f t="shared" si="2"/>
        <v/>
      </c>
      <c r="GK2" s="88" t="str">
        <f t="shared" si="2"/>
        <v/>
      </c>
      <c r="GL2" s="88" t="str">
        <f t="shared" si="2"/>
        <v/>
      </c>
      <c r="GM2" s="88" t="str">
        <f t="shared" si="2"/>
        <v/>
      </c>
      <c r="GN2" s="88" t="str">
        <f t="shared" si="2"/>
        <v/>
      </c>
      <c r="GO2" s="88" t="str">
        <f t="shared" si="2"/>
        <v/>
      </c>
      <c r="GP2" s="88" t="str">
        <f t="shared" si="2"/>
        <v/>
      </c>
      <c r="GQ2" s="88" t="str">
        <f t="shared" si="2"/>
        <v/>
      </c>
      <c r="GR2" s="88" t="str">
        <f t="shared" si="2"/>
        <v/>
      </c>
      <c r="GS2" s="88" t="str">
        <f t="shared" si="2"/>
        <v/>
      </c>
      <c r="GT2" s="88" t="str">
        <f t="shared" si="2"/>
        <v/>
      </c>
      <c r="GU2" s="88" t="str">
        <f t="shared" si="2"/>
        <v/>
      </c>
      <c r="GV2" s="88" t="str">
        <f t="shared" si="2"/>
        <v/>
      </c>
      <c r="GW2" s="88" t="str">
        <f t="shared" si="2"/>
        <v/>
      </c>
      <c r="GX2" s="88" t="str">
        <f t="shared" si="2"/>
        <v/>
      </c>
      <c r="GY2" s="88" t="str">
        <f t="shared" si="2"/>
        <v/>
      </c>
      <c r="GZ2" s="88" t="str">
        <f t="shared" si="2"/>
        <v/>
      </c>
      <c r="HA2" s="88" t="str">
        <f t="shared" si="2"/>
        <v/>
      </c>
      <c r="HB2" s="88" t="str">
        <f t="shared" si="2"/>
        <v/>
      </c>
      <c r="HC2" s="88" t="str">
        <f t="shared" si="2"/>
        <v/>
      </c>
      <c r="HD2" s="88" t="str">
        <f t="shared" si="2"/>
        <v/>
      </c>
      <c r="HE2" s="88" t="str">
        <f t="shared" si="2"/>
        <v/>
      </c>
      <c r="HF2" s="88" t="str">
        <f t="shared" si="2"/>
        <v/>
      </c>
      <c r="HG2" s="88" t="str">
        <f t="shared" si="2"/>
        <v/>
      </c>
      <c r="HH2" s="88" t="str">
        <f t="shared" si="2"/>
        <v/>
      </c>
      <c r="HI2" s="88" t="str">
        <f t="shared" si="2"/>
        <v/>
      </c>
      <c r="HJ2" s="88" t="str">
        <f t="shared" si="2"/>
        <v/>
      </c>
      <c r="HK2" s="88" t="str">
        <f t="shared" si="2"/>
        <v/>
      </c>
      <c r="HL2" s="88" t="str">
        <f t="shared" si="2"/>
        <v/>
      </c>
      <c r="HM2" s="88" t="str">
        <f t="shared" si="2"/>
        <v/>
      </c>
      <c r="HN2" s="88" t="str">
        <f t="shared" si="2"/>
        <v/>
      </c>
      <c r="HO2" s="88" t="str">
        <f t="shared" si="2"/>
        <v/>
      </c>
      <c r="HP2" s="88" t="str">
        <f t="shared" si="2"/>
        <v/>
      </c>
      <c r="HQ2" s="88" t="str">
        <f t="shared" si="2"/>
        <v/>
      </c>
      <c r="HR2" s="88" t="str">
        <f t="shared" si="2"/>
        <v/>
      </c>
      <c r="HS2" s="88" t="str">
        <f t="shared" si="2"/>
        <v/>
      </c>
      <c r="HT2" s="88" t="str">
        <f t="shared" si="2"/>
        <v/>
      </c>
      <c r="HU2" s="88" t="str">
        <f t="shared" ref="HU2:IK2" si="3">IF(HU3="","",HT2+1)</f>
        <v/>
      </c>
      <c r="HV2" s="88" t="str">
        <f t="shared" si="3"/>
        <v/>
      </c>
      <c r="HW2" s="88" t="str">
        <f t="shared" si="3"/>
        <v/>
      </c>
      <c r="HX2" s="88" t="str">
        <f t="shared" si="3"/>
        <v/>
      </c>
      <c r="HY2" s="88" t="str">
        <f t="shared" si="3"/>
        <v/>
      </c>
      <c r="HZ2" s="88" t="str">
        <f t="shared" si="3"/>
        <v/>
      </c>
      <c r="IA2" s="88" t="str">
        <f t="shared" si="3"/>
        <v/>
      </c>
      <c r="IB2" s="88" t="str">
        <f t="shared" si="3"/>
        <v/>
      </c>
      <c r="IC2" s="88" t="str">
        <f t="shared" si="3"/>
        <v/>
      </c>
      <c r="ID2" s="88" t="str">
        <f t="shared" si="3"/>
        <v/>
      </c>
      <c r="IE2" s="88" t="str">
        <f t="shared" si="3"/>
        <v/>
      </c>
      <c r="IF2" s="88" t="str">
        <f t="shared" si="3"/>
        <v/>
      </c>
      <c r="IG2" s="88" t="str">
        <f t="shared" si="3"/>
        <v/>
      </c>
      <c r="IH2" s="88" t="str">
        <f t="shared" si="3"/>
        <v/>
      </c>
      <c r="II2" s="88" t="str">
        <f t="shared" si="3"/>
        <v/>
      </c>
      <c r="IJ2" s="88" t="str">
        <f t="shared" si="3"/>
        <v/>
      </c>
      <c r="IK2" s="88" t="str">
        <f t="shared" si="3"/>
        <v/>
      </c>
    </row>
    <row r="3" spans="1:245" s="93" customFormat="1" x14ac:dyDescent="0.2">
      <c r="A3" s="90" t="s">
        <v>113</v>
      </c>
      <c r="B3" s="91" t="s">
        <v>142</v>
      </c>
      <c r="C3" s="91" t="s">
        <v>144</v>
      </c>
      <c r="D3" s="92" t="s">
        <v>142</v>
      </c>
      <c r="E3" s="92" t="s">
        <v>144</v>
      </c>
      <c r="F3" s="91" t="s">
        <v>144</v>
      </c>
      <c r="G3" s="91" t="s">
        <v>144</v>
      </c>
      <c r="H3" s="91"/>
      <c r="I3" s="91"/>
      <c r="J3" s="91"/>
      <c r="K3" s="92"/>
      <c r="L3" s="92"/>
      <c r="M3" s="92"/>
      <c r="N3" s="92"/>
      <c r="O3" s="92"/>
      <c r="P3" s="92"/>
      <c r="Q3" s="92"/>
      <c r="R3" s="92"/>
      <c r="S3" s="92"/>
      <c r="T3" s="92"/>
      <c r="U3" s="92"/>
      <c r="V3" s="92"/>
      <c r="W3" s="92"/>
      <c r="X3" s="92"/>
      <c r="Y3" s="92"/>
      <c r="Z3" s="92"/>
      <c r="AA3" s="92"/>
      <c r="AB3" s="92"/>
      <c r="AC3" s="92"/>
      <c r="AD3" s="92"/>
      <c r="AE3" s="92"/>
      <c r="AF3" s="92"/>
      <c r="AG3" s="92"/>
      <c r="AH3" s="92"/>
      <c r="AI3" s="92"/>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row>
    <row r="4" spans="1:245" s="93" customFormat="1" ht="38.25" x14ac:dyDescent="0.2">
      <c r="A4" s="90" t="s">
        <v>114</v>
      </c>
      <c r="B4" s="91" t="s">
        <v>374</v>
      </c>
      <c r="C4" s="91" t="s">
        <v>385</v>
      </c>
      <c r="D4" s="91" t="s">
        <v>385</v>
      </c>
      <c r="E4" s="92" t="s">
        <v>566</v>
      </c>
      <c r="F4" s="91" t="s">
        <v>571</v>
      </c>
      <c r="G4" s="91" t="s">
        <v>654</v>
      </c>
      <c r="H4" s="91"/>
      <c r="I4" s="91"/>
      <c r="J4" s="91"/>
      <c r="K4" s="92"/>
      <c r="L4" s="91"/>
      <c r="M4" s="91"/>
      <c r="N4" s="91"/>
      <c r="O4" s="92"/>
      <c r="P4" s="92"/>
      <c r="Q4" s="91"/>
      <c r="R4" s="91"/>
      <c r="S4" s="91"/>
      <c r="T4" s="91"/>
      <c r="U4" s="91"/>
      <c r="V4" s="91"/>
      <c r="W4" s="91"/>
      <c r="X4" s="95"/>
      <c r="Y4" s="91"/>
      <c r="Z4" s="92"/>
      <c r="AA4" s="91"/>
      <c r="AB4" s="91"/>
      <c r="AC4" s="92"/>
      <c r="AD4" s="92"/>
      <c r="AE4" s="92"/>
      <c r="AF4" s="92"/>
      <c r="AG4" s="92"/>
      <c r="AH4" s="92"/>
      <c r="AI4" s="92"/>
      <c r="AQ4" s="96"/>
      <c r="AR4" s="96"/>
      <c r="AS4" s="96"/>
      <c r="AT4" s="96"/>
      <c r="AU4" s="96"/>
      <c r="AV4" s="96"/>
      <c r="AW4" s="96"/>
      <c r="GA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row>
    <row r="5" spans="1:245" s="100" customFormat="1" ht="25.5" x14ac:dyDescent="0.2">
      <c r="A5" s="97" t="s">
        <v>115</v>
      </c>
      <c r="B5" s="98" t="s">
        <v>371</v>
      </c>
      <c r="C5" s="98" t="s">
        <v>379</v>
      </c>
      <c r="D5" s="98" t="s">
        <v>388</v>
      </c>
      <c r="E5" s="98" t="s">
        <v>567</v>
      </c>
      <c r="F5" s="98" t="s">
        <v>572</v>
      </c>
      <c r="G5" s="98" t="s">
        <v>655</v>
      </c>
      <c r="H5" s="98"/>
      <c r="I5" s="98"/>
      <c r="J5" s="98"/>
      <c r="K5" s="98"/>
      <c r="L5" s="99"/>
      <c r="M5" s="98"/>
      <c r="N5" s="99"/>
      <c r="O5" s="99"/>
      <c r="P5" s="99"/>
      <c r="Q5" s="98"/>
      <c r="R5" s="99"/>
      <c r="S5" s="98"/>
      <c r="T5" s="99"/>
      <c r="U5" s="98"/>
      <c r="V5" s="99"/>
      <c r="W5" s="98"/>
      <c r="X5" s="99"/>
      <c r="Y5" s="98"/>
      <c r="Z5" s="98"/>
      <c r="AA5" s="99"/>
      <c r="AB5" s="99"/>
      <c r="AC5" s="99"/>
      <c r="AD5" s="99"/>
      <c r="AE5" s="99"/>
      <c r="AF5" s="99"/>
      <c r="AG5" s="99"/>
      <c r="AH5" s="99"/>
      <c r="AI5" s="99"/>
      <c r="DO5" s="101"/>
      <c r="GC5" s="102"/>
      <c r="GD5" s="102"/>
      <c r="GE5" s="102"/>
      <c r="GF5" s="102"/>
      <c r="GG5" s="102"/>
      <c r="GH5" s="102"/>
      <c r="GI5" s="102"/>
      <c r="GJ5" s="102"/>
      <c r="GK5" s="102"/>
      <c r="GL5" s="102"/>
      <c r="GM5" s="102"/>
      <c r="GN5" s="102"/>
      <c r="GO5" s="102"/>
      <c r="GP5" s="102"/>
      <c r="GQ5" s="102"/>
      <c r="GR5" s="102"/>
      <c r="GS5" s="102"/>
      <c r="GT5" s="102"/>
      <c r="GU5" s="102"/>
      <c r="GV5" s="102"/>
      <c r="GW5" s="103"/>
      <c r="GX5" s="102"/>
      <c r="GY5" s="102"/>
      <c r="GZ5" s="102"/>
      <c r="HA5" s="102"/>
      <c r="HB5" s="102"/>
    </row>
    <row r="6" spans="1:245" s="100" customFormat="1" x14ac:dyDescent="0.2">
      <c r="A6" s="97" t="s">
        <v>116</v>
      </c>
      <c r="B6" s="98"/>
      <c r="C6" s="98" t="s">
        <v>380</v>
      </c>
      <c r="D6" s="99"/>
      <c r="E6" s="99"/>
      <c r="F6" s="98"/>
      <c r="G6" s="98" t="s">
        <v>656</v>
      </c>
      <c r="H6" s="98"/>
      <c r="I6" s="98"/>
      <c r="J6" s="98"/>
      <c r="K6" s="99"/>
      <c r="L6" s="99"/>
      <c r="M6" s="99"/>
      <c r="N6" s="99"/>
      <c r="O6" s="99"/>
      <c r="P6" s="99"/>
      <c r="Q6" s="99"/>
      <c r="R6" s="99"/>
      <c r="S6" s="99"/>
      <c r="T6" s="99"/>
      <c r="U6" s="99"/>
      <c r="V6" s="99"/>
      <c r="W6" s="99"/>
      <c r="X6" s="99"/>
      <c r="Y6" s="99"/>
      <c r="Z6" s="99"/>
      <c r="AA6" s="99"/>
      <c r="AB6" s="99"/>
      <c r="AC6" s="99"/>
      <c r="AD6" s="99"/>
      <c r="AE6" s="99"/>
      <c r="AF6" s="99"/>
      <c r="AG6" s="99"/>
      <c r="AH6" s="99"/>
      <c r="AI6" s="99"/>
      <c r="GC6" s="102"/>
      <c r="GD6" s="102"/>
      <c r="GE6" s="102"/>
      <c r="GF6" s="102"/>
      <c r="GG6" s="102"/>
      <c r="GH6" s="102"/>
      <c r="GI6" s="102"/>
      <c r="GJ6" s="102"/>
      <c r="GK6" s="102"/>
      <c r="GL6" s="102"/>
      <c r="GM6" s="102"/>
      <c r="GN6" s="102"/>
      <c r="GO6" s="102"/>
      <c r="GP6" s="102"/>
      <c r="GQ6" s="102"/>
      <c r="GR6" s="102"/>
      <c r="GS6" s="102"/>
      <c r="GT6" s="102"/>
      <c r="GU6" s="102"/>
      <c r="GV6" s="102"/>
      <c r="GW6" s="102"/>
      <c r="GX6" s="102"/>
      <c r="GY6" s="102"/>
      <c r="GZ6" s="102"/>
      <c r="HA6" s="102"/>
      <c r="HB6" s="102"/>
    </row>
    <row r="7" spans="1:245" s="106" customFormat="1" x14ac:dyDescent="0.2">
      <c r="A7" s="90" t="s">
        <v>117</v>
      </c>
      <c r="B7" s="104" t="s">
        <v>372</v>
      </c>
      <c r="C7" s="104" t="s">
        <v>381</v>
      </c>
      <c r="D7" s="104" t="s">
        <v>387</v>
      </c>
      <c r="E7" s="105" t="s">
        <v>387</v>
      </c>
      <c r="F7" s="104" t="s">
        <v>573</v>
      </c>
      <c r="G7" s="104" t="s">
        <v>387</v>
      </c>
      <c r="H7" s="104"/>
      <c r="I7" s="104"/>
      <c r="J7" s="104"/>
      <c r="K7" s="105"/>
      <c r="L7" s="105"/>
      <c r="M7" s="104"/>
      <c r="N7" s="105"/>
      <c r="O7" s="105"/>
      <c r="P7" s="105"/>
      <c r="Q7" s="104"/>
      <c r="R7" s="105"/>
      <c r="S7" s="104"/>
      <c r="T7" s="105"/>
      <c r="U7" s="105"/>
      <c r="V7" s="105"/>
      <c r="W7" s="105"/>
      <c r="X7" s="105"/>
      <c r="Y7" s="105"/>
      <c r="Z7" s="105"/>
      <c r="AA7" s="105"/>
      <c r="AB7" s="105"/>
      <c r="AC7" s="105"/>
      <c r="AD7" s="105"/>
      <c r="AE7" s="105"/>
      <c r="AF7" s="105"/>
      <c r="AG7" s="105"/>
      <c r="AH7" s="105"/>
      <c r="AI7" s="105"/>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7"/>
      <c r="HB7" s="107"/>
    </row>
    <row r="8" spans="1:245" s="106" customFormat="1" x14ac:dyDescent="0.2">
      <c r="A8" s="90" t="s">
        <v>118</v>
      </c>
      <c r="B8" s="104"/>
      <c r="C8" s="104"/>
      <c r="D8" s="105"/>
      <c r="E8" s="105"/>
      <c r="F8" s="104"/>
      <c r="G8" s="104" t="s">
        <v>657</v>
      </c>
      <c r="H8" s="104"/>
      <c r="I8" s="104"/>
      <c r="J8" s="104"/>
      <c r="K8" s="105"/>
      <c r="L8" s="105"/>
      <c r="M8" s="105"/>
      <c r="N8" s="104"/>
      <c r="O8" s="105"/>
      <c r="P8" s="105"/>
      <c r="Q8" s="105"/>
      <c r="R8" s="105"/>
      <c r="S8" s="104"/>
      <c r="T8" s="105"/>
      <c r="U8" s="105"/>
      <c r="V8" s="105"/>
      <c r="W8" s="105"/>
      <c r="X8" s="105"/>
      <c r="Y8" s="105"/>
      <c r="Z8" s="105"/>
      <c r="AA8" s="105"/>
      <c r="AB8" s="105"/>
      <c r="AC8" s="105"/>
      <c r="AD8" s="105"/>
      <c r="AE8" s="105"/>
      <c r="AF8" s="105"/>
      <c r="AG8" s="105"/>
      <c r="AH8" s="105"/>
      <c r="AI8" s="105"/>
      <c r="GC8" s="107"/>
      <c r="GD8" s="107"/>
      <c r="GE8" s="107"/>
      <c r="GF8" s="107"/>
      <c r="GG8" s="107"/>
      <c r="GH8" s="107"/>
      <c r="GI8" s="107"/>
      <c r="GJ8" s="107"/>
      <c r="GK8" s="107"/>
      <c r="GL8" s="107"/>
      <c r="GM8" s="107"/>
      <c r="GN8" s="107"/>
      <c r="GO8" s="107"/>
      <c r="GP8" s="107"/>
      <c r="GQ8" s="107"/>
      <c r="GR8" s="107"/>
      <c r="GS8" s="107"/>
      <c r="GT8" s="107"/>
      <c r="GU8" s="107"/>
      <c r="GV8" s="107"/>
      <c r="GW8" s="107"/>
      <c r="GX8" s="107"/>
      <c r="GY8" s="107"/>
      <c r="GZ8" s="107"/>
      <c r="HA8" s="107"/>
      <c r="HB8" s="107"/>
    </row>
    <row r="9" spans="1:245" s="100" customFormat="1" x14ac:dyDescent="0.2">
      <c r="A9" s="97" t="s">
        <v>119</v>
      </c>
      <c r="B9" s="98"/>
      <c r="C9" s="108" t="s">
        <v>382</v>
      </c>
      <c r="D9" s="108"/>
      <c r="E9" s="99"/>
      <c r="F9" s="108"/>
      <c r="G9" s="108"/>
      <c r="H9" s="98"/>
      <c r="I9" s="98"/>
      <c r="J9" s="98"/>
      <c r="K9" s="99"/>
      <c r="L9" s="98"/>
      <c r="M9" s="98"/>
      <c r="N9" s="99"/>
      <c r="O9" s="99"/>
      <c r="P9" s="99"/>
      <c r="Q9" s="108"/>
      <c r="R9" s="99"/>
      <c r="S9" s="98"/>
      <c r="T9" s="98"/>
      <c r="U9" s="98"/>
      <c r="V9" s="99"/>
      <c r="W9" s="99"/>
      <c r="X9" s="99"/>
      <c r="Y9" s="99"/>
      <c r="Z9" s="99"/>
      <c r="AA9" s="99"/>
      <c r="AB9" s="99"/>
      <c r="AC9" s="99"/>
      <c r="AD9" s="99"/>
      <c r="AE9" s="99"/>
      <c r="AF9" s="99"/>
      <c r="AG9" s="99"/>
      <c r="AH9" s="99"/>
      <c r="AI9" s="99"/>
      <c r="AY9" s="101"/>
      <c r="GC9" s="102"/>
      <c r="GD9" s="102"/>
      <c r="GE9" s="102"/>
      <c r="GF9" s="102"/>
      <c r="GG9" s="102"/>
      <c r="GH9" s="102"/>
      <c r="GI9" s="102"/>
      <c r="GJ9" s="102"/>
      <c r="GK9" s="102"/>
      <c r="GL9" s="102"/>
      <c r="GM9" s="102"/>
      <c r="GN9" s="102"/>
      <c r="GO9" s="102"/>
      <c r="GP9" s="102"/>
      <c r="GQ9" s="102"/>
      <c r="GR9" s="102"/>
      <c r="GS9" s="102"/>
      <c r="GT9" s="102"/>
      <c r="GU9" s="102"/>
      <c r="GV9" s="102"/>
      <c r="GW9" s="102"/>
      <c r="GX9" s="102"/>
      <c r="GY9" s="102"/>
      <c r="GZ9" s="102"/>
      <c r="HA9" s="102"/>
      <c r="HB9" s="102"/>
    </row>
    <row r="10" spans="1:245" s="100" customFormat="1" ht="25.5" x14ac:dyDescent="0.2">
      <c r="A10" s="97" t="s">
        <v>120</v>
      </c>
      <c r="B10" s="98" t="s">
        <v>376</v>
      </c>
      <c r="C10" s="98" t="s">
        <v>383</v>
      </c>
      <c r="D10" s="98" t="s">
        <v>391</v>
      </c>
      <c r="E10" s="99" t="s">
        <v>567</v>
      </c>
      <c r="F10" s="98"/>
      <c r="G10" s="98" t="s">
        <v>658</v>
      </c>
      <c r="H10" s="98"/>
      <c r="I10" s="98"/>
      <c r="J10" s="98"/>
      <c r="K10" s="99"/>
      <c r="L10" s="99"/>
      <c r="M10" s="99"/>
      <c r="N10" s="99"/>
      <c r="O10" s="99"/>
      <c r="P10" s="99"/>
      <c r="Q10" s="98"/>
      <c r="R10" s="99"/>
      <c r="S10" s="99"/>
      <c r="T10" s="99"/>
      <c r="U10" s="99"/>
      <c r="V10" s="99"/>
      <c r="W10" s="99"/>
      <c r="X10" s="99"/>
      <c r="Y10" s="99"/>
      <c r="Z10" s="99"/>
      <c r="AA10" s="99"/>
      <c r="AB10" s="99"/>
      <c r="AC10" s="99"/>
      <c r="AD10" s="99"/>
      <c r="AE10" s="99"/>
      <c r="AF10" s="99"/>
      <c r="AG10" s="99"/>
      <c r="AH10" s="99"/>
      <c r="AI10" s="99"/>
      <c r="GC10" s="102"/>
      <c r="GD10" s="102"/>
      <c r="GE10" s="102"/>
      <c r="GF10" s="102"/>
      <c r="GG10" s="102"/>
      <c r="GH10" s="102"/>
      <c r="GI10" s="102"/>
      <c r="GJ10" s="102"/>
      <c r="GK10" s="102"/>
      <c r="GL10" s="102"/>
      <c r="GM10" s="102"/>
      <c r="GN10" s="102"/>
      <c r="GO10" s="102"/>
      <c r="GP10" s="102"/>
      <c r="GQ10" s="102"/>
      <c r="GR10" s="102"/>
      <c r="GS10" s="102"/>
      <c r="GT10" s="102"/>
      <c r="GU10" s="102"/>
      <c r="GV10" s="102"/>
      <c r="GW10" s="102"/>
      <c r="GX10" s="102"/>
      <c r="GY10" s="102"/>
      <c r="GZ10" s="102"/>
      <c r="HA10" s="102"/>
      <c r="HB10" s="102"/>
    </row>
    <row r="11" spans="1:245" s="106" customFormat="1" x14ac:dyDescent="0.2">
      <c r="A11" s="90" t="s">
        <v>121</v>
      </c>
      <c r="B11" s="104"/>
      <c r="C11" s="104"/>
      <c r="D11" s="105"/>
      <c r="E11" s="105"/>
      <c r="F11" s="104"/>
      <c r="G11" s="104" t="s">
        <v>659</v>
      </c>
      <c r="H11" s="104"/>
      <c r="I11" s="104"/>
      <c r="J11" s="104"/>
      <c r="K11" s="105"/>
      <c r="L11" s="105"/>
      <c r="M11" s="105"/>
      <c r="N11" s="105"/>
      <c r="O11" s="105"/>
      <c r="P11" s="105"/>
      <c r="Q11" s="105"/>
      <c r="R11" s="105"/>
      <c r="S11" s="104"/>
      <c r="T11" s="105"/>
      <c r="U11" s="105"/>
      <c r="V11" s="105"/>
      <c r="W11" s="105"/>
      <c r="X11" s="104"/>
      <c r="Y11" s="105"/>
      <c r="Z11" s="105"/>
      <c r="AA11" s="105"/>
      <c r="AB11" s="105"/>
      <c r="AC11" s="105"/>
      <c r="AD11" s="105"/>
      <c r="AE11" s="105"/>
      <c r="AF11" s="105"/>
      <c r="AG11" s="105"/>
      <c r="AH11" s="105"/>
      <c r="AI11" s="105"/>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row>
    <row r="12" spans="1:245" s="106" customFormat="1" ht="25.5" x14ac:dyDescent="0.2">
      <c r="A12" s="90" t="s">
        <v>122</v>
      </c>
      <c r="B12" s="104"/>
      <c r="C12" s="104"/>
      <c r="D12" s="105"/>
      <c r="E12" s="105"/>
      <c r="F12" s="104"/>
      <c r="G12" s="104"/>
      <c r="H12" s="104"/>
      <c r="I12" s="104"/>
      <c r="J12" s="104"/>
      <c r="K12" s="105"/>
      <c r="L12" s="105"/>
      <c r="M12" s="105"/>
      <c r="N12" s="105"/>
      <c r="O12" s="105"/>
      <c r="P12" s="105"/>
      <c r="Q12" s="105"/>
      <c r="R12" s="105"/>
      <c r="S12" s="104"/>
      <c r="T12" s="105"/>
      <c r="U12" s="105"/>
      <c r="V12" s="105"/>
      <c r="W12" s="105"/>
      <c r="X12" s="104"/>
      <c r="Y12" s="105"/>
      <c r="Z12" s="105"/>
      <c r="AA12" s="105"/>
      <c r="AB12" s="105"/>
      <c r="AC12" s="105"/>
      <c r="AD12" s="105"/>
      <c r="AE12" s="105"/>
      <c r="AF12" s="105"/>
      <c r="AG12" s="105"/>
      <c r="AH12" s="105"/>
      <c r="AI12" s="105"/>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c r="HB12" s="107"/>
    </row>
    <row r="13" spans="1:245" s="100" customFormat="1" x14ac:dyDescent="0.2">
      <c r="A13" s="97" t="s">
        <v>123</v>
      </c>
      <c r="B13" s="98"/>
      <c r="C13" s="98"/>
      <c r="D13" s="99"/>
      <c r="E13" s="99"/>
      <c r="F13" s="98"/>
      <c r="G13" s="98"/>
      <c r="H13" s="98"/>
      <c r="I13" s="98"/>
      <c r="J13" s="98"/>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GC13" s="102"/>
      <c r="GD13" s="102"/>
      <c r="GE13" s="102"/>
      <c r="GF13" s="102"/>
      <c r="GG13" s="102"/>
      <c r="GH13" s="102"/>
      <c r="GI13" s="102"/>
      <c r="GJ13" s="102"/>
      <c r="GK13" s="102"/>
      <c r="GL13" s="102"/>
      <c r="GM13" s="102"/>
      <c r="GN13" s="102"/>
      <c r="GO13" s="102"/>
      <c r="GP13" s="102"/>
      <c r="GQ13" s="102"/>
      <c r="GR13" s="102"/>
      <c r="GS13" s="102"/>
      <c r="GT13" s="102"/>
      <c r="GU13" s="102"/>
      <c r="GV13" s="102"/>
      <c r="GW13" s="102"/>
      <c r="GX13" s="102"/>
      <c r="GY13" s="102"/>
      <c r="GZ13" s="102"/>
      <c r="HA13" s="102"/>
      <c r="HB13" s="102"/>
    </row>
    <row r="14" spans="1:245" s="100" customFormat="1" x14ac:dyDescent="0.2">
      <c r="A14" s="97" t="s">
        <v>124</v>
      </c>
      <c r="B14" s="98" t="s">
        <v>373</v>
      </c>
      <c r="C14" s="98"/>
      <c r="D14" s="99" t="s">
        <v>386</v>
      </c>
      <c r="E14" s="99"/>
      <c r="F14" s="98"/>
      <c r="G14" s="98"/>
      <c r="H14" s="98"/>
      <c r="I14" s="98"/>
      <c r="J14" s="98"/>
      <c r="K14" s="99"/>
      <c r="L14" s="99"/>
      <c r="M14" s="99"/>
      <c r="N14" s="98"/>
      <c r="O14" s="99"/>
      <c r="P14" s="99"/>
      <c r="Q14" s="99"/>
      <c r="R14" s="99"/>
      <c r="S14" s="99"/>
      <c r="T14" s="99"/>
      <c r="U14" s="99"/>
      <c r="V14" s="99"/>
      <c r="W14" s="99"/>
      <c r="X14" s="99"/>
      <c r="Y14" s="99"/>
      <c r="Z14" s="99"/>
      <c r="AA14" s="99"/>
      <c r="AB14" s="99"/>
      <c r="AC14" s="99"/>
      <c r="AD14" s="99"/>
      <c r="AE14" s="99"/>
      <c r="AF14" s="99"/>
      <c r="AG14" s="99"/>
      <c r="AH14" s="99"/>
      <c r="AI14" s="99"/>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row>
    <row r="15" spans="1:245" s="93" customFormat="1" x14ac:dyDescent="0.2">
      <c r="A15" s="90" t="s">
        <v>125</v>
      </c>
      <c r="B15" s="91"/>
      <c r="C15" s="91"/>
      <c r="D15" s="92"/>
      <c r="E15" s="92"/>
      <c r="F15" s="91"/>
      <c r="G15" s="91"/>
      <c r="H15" s="91"/>
      <c r="I15" s="91"/>
      <c r="J15" s="91"/>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row>
    <row r="16" spans="1:245" s="106" customFormat="1" x14ac:dyDescent="0.2">
      <c r="A16" s="90" t="s">
        <v>126</v>
      </c>
      <c r="B16" s="104"/>
      <c r="C16" s="104"/>
      <c r="D16" s="105" t="s">
        <v>389</v>
      </c>
      <c r="E16" s="105"/>
      <c r="F16" s="104"/>
      <c r="G16" s="104" t="s">
        <v>660</v>
      </c>
      <c r="H16" s="104"/>
      <c r="I16" s="104"/>
      <c r="J16" s="104"/>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CC16" s="93"/>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row>
    <row r="17" spans="1:210" s="111" customFormat="1" x14ac:dyDescent="0.2">
      <c r="A17" s="97" t="s">
        <v>127</v>
      </c>
      <c r="B17" s="109" t="s">
        <v>377</v>
      </c>
      <c r="C17" s="109"/>
      <c r="D17" s="110" t="s">
        <v>390</v>
      </c>
      <c r="E17" s="110"/>
      <c r="F17" s="109"/>
      <c r="G17" s="109" t="s">
        <v>661</v>
      </c>
      <c r="H17" s="109"/>
      <c r="I17" s="109"/>
      <c r="J17" s="109"/>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row>
    <row r="18" spans="1:210" s="111" customFormat="1" x14ac:dyDescent="0.2">
      <c r="A18" s="97" t="s">
        <v>128</v>
      </c>
      <c r="B18" s="109"/>
      <c r="C18" s="109"/>
      <c r="D18" s="110"/>
      <c r="E18" s="110"/>
      <c r="F18" s="109"/>
      <c r="G18" s="109"/>
      <c r="H18" s="109"/>
      <c r="I18" s="109"/>
      <c r="J18" s="109"/>
      <c r="K18" s="110"/>
      <c r="L18" s="110"/>
      <c r="M18" s="110"/>
      <c r="N18" s="110"/>
      <c r="O18" s="110"/>
      <c r="P18" s="110"/>
      <c r="Q18" s="110"/>
      <c r="R18" s="110"/>
      <c r="S18" s="110"/>
      <c r="T18" s="110"/>
      <c r="U18" s="110"/>
      <c r="V18" s="110"/>
      <c r="W18" s="110"/>
      <c r="X18" s="113"/>
      <c r="Y18" s="110"/>
      <c r="Z18" s="110"/>
      <c r="AA18" s="110"/>
      <c r="AB18" s="110"/>
      <c r="AC18" s="110"/>
      <c r="AD18" s="110"/>
      <c r="AE18" s="110"/>
      <c r="AF18" s="110"/>
      <c r="AG18" s="110"/>
      <c r="AH18" s="110"/>
      <c r="AI18" s="110"/>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row>
    <row r="19" spans="1:210" s="93" customFormat="1" x14ac:dyDescent="0.2">
      <c r="A19" s="90" t="s">
        <v>129</v>
      </c>
      <c r="B19" s="91"/>
      <c r="C19" s="91"/>
      <c r="D19" s="92"/>
      <c r="E19" s="92"/>
      <c r="F19" s="91"/>
      <c r="G19" s="91"/>
      <c r="H19" s="91"/>
      <c r="I19" s="91"/>
      <c r="J19" s="91"/>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row>
    <row r="20" spans="1:210" s="118" customFormat="1" x14ac:dyDescent="0.25">
      <c r="A20" s="114" t="s">
        <v>130</v>
      </c>
      <c r="B20" s="223" t="s">
        <v>375</v>
      </c>
      <c r="C20" s="115" t="s">
        <v>131</v>
      </c>
      <c r="D20" s="116"/>
      <c r="E20" s="223" t="s">
        <v>568</v>
      </c>
      <c r="F20" s="115" t="s">
        <v>131</v>
      </c>
      <c r="G20" s="115"/>
      <c r="H20" s="115"/>
      <c r="I20" s="115"/>
      <c r="J20" s="115"/>
      <c r="K20" s="116"/>
      <c r="L20" s="116"/>
      <c r="M20" s="117"/>
      <c r="N20" s="116"/>
      <c r="P20" s="119"/>
      <c r="Q20" s="116"/>
      <c r="R20" s="116"/>
      <c r="T20" s="116"/>
      <c r="U20" s="116"/>
      <c r="V20" s="116"/>
      <c r="W20" s="116"/>
      <c r="X20" s="116"/>
      <c r="Y20" s="116"/>
      <c r="Z20" s="116"/>
      <c r="AA20" s="119"/>
      <c r="AB20" s="119"/>
      <c r="AC20" s="119"/>
      <c r="AD20" s="119"/>
      <c r="AE20" s="119"/>
      <c r="AF20" s="119"/>
      <c r="AG20" s="119"/>
      <c r="AH20" s="119"/>
      <c r="AI20" s="119"/>
      <c r="AJ20" s="119"/>
      <c r="AK20" s="119"/>
      <c r="AL20" s="119"/>
      <c r="AM20" s="119"/>
      <c r="AN20" s="119"/>
      <c r="AO20" s="119"/>
      <c r="AP20" s="119"/>
      <c r="AQ20" s="119"/>
      <c r="AR20" s="119"/>
      <c r="AS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X20" s="119"/>
      <c r="BY20" s="119"/>
      <c r="BZ20" s="119"/>
      <c r="CA20" s="119"/>
      <c r="CB20" s="119"/>
      <c r="CC20" s="119"/>
      <c r="CD20" s="119"/>
      <c r="CE20" s="119"/>
      <c r="CF20" s="119"/>
      <c r="CG20" s="119"/>
      <c r="CH20" s="119"/>
      <c r="CI20" s="119"/>
      <c r="CK20" s="119"/>
      <c r="CL20" s="119"/>
      <c r="CN20" s="119"/>
      <c r="CO20" s="119"/>
      <c r="CP20" s="119"/>
      <c r="CQ20" s="119"/>
      <c r="CR20" s="119"/>
      <c r="CS20" s="119"/>
      <c r="CT20" s="119"/>
      <c r="CU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GC20" s="117"/>
      <c r="GE20" s="117"/>
      <c r="GI20" s="117"/>
      <c r="GJ20" s="117"/>
      <c r="GK20" s="117"/>
      <c r="GM20" s="117"/>
      <c r="GN20" s="117"/>
      <c r="GO20" s="117"/>
      <c r="GP20" s="117"/>
      <c r="GQ20" s="117"/>
      <c r="GR20" s="117"/>
      <c r="GS20" s="117"/>
      <c r="GT20" s="117"/>
      <c r="GU20" s="117"/>
      <c r="GV20" s="117"/>
      <c r="GW20" s="117"/>
      <c r="GX20" s="117"/>
      <c r="GY20" s="117"/>
      <c r="GZ20" s="117"/>
      <c r="HA20" s="117"/>
      <c r="HB20" s="117"/>
    </row>
    <row r="21" spans="1:210" s="104" customFormat="1" ht="25.5" x14ac:dyDescent="0.25">
      <c r="A21" s="120" t="s">
        <v>132</v>
      </c>
      <c r="B21" s="121"/>
      <c r="C21" s="121"/>
      <c r="D21" s="122"/>
      <c r="E21" s="122"/>
      <c r="F21" s="121" t="s">
        <v>574</v>
      </c>
      <c r="G21" s="121"/>
      <c r="H21" s="121"/>
      <c r="I21" s="121"/>
      <c r="J21" s="121"/>
      <c r="K21" s="122"/>
      <c r="L21" s="122"/>
      <c r="M21" s="123"/>
      <c r="N21" s="122"/>
      <c r="P21" s="124"/>
      <c r="Q21" s="122"/>
      <c r="R21" s="122"/>
      <c r="T21" s="122"/>
      <c r="U21" s="122"/>
      <c r="V21" s="122"/>
      <c r="W21" s="122"/>
      <c r="X21" s="122"/>
      <c r="Y21" s="122"/>
      <c r="Z21" s="122"/>
      <c r="AA21" s="124"/>
      <c r="AB21" s="124"/>
      <c r="AC21" s="124"/>
      <c r="AD21" s="124"/>
      <c r="AE21" s="124"/>
      <c r="AF21" s="124"/>
      <c r="AG21" s="124"/>
      <c r="AH21" s="124"/>
      <c r="AI21" s="124"/>
      <c r="AJ21" s="124"/>
      <c r="AK21" s="124"/>
      <c r="AL21" s="124"/>
      <c r="AM21" s="124"/>
      <c r="AN21" s="124"/>
      <c r="AO21" s="124"/>
      <c r="AP21" s="124"/>
      <c r="AQ21" s="124"/>
      <c r="AR21" s="124"/>
      <c r="AS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X21" s="124"/>
      <c r="BY21" s="124"/>
      <c r="BZ21" s="124"/>
      <c r="CA21" s="124"/>
      <c r="CB21" s="124"/>
      <c r="CC21" s="124"/>
      <c r="CD21" s="124"/>
      <c r="CE21" s="124"/>
      <c r="CF21" s="124"/>
      <c r="CG21" s="124"/>
      <c r="CH21" s="124"/>
      <c r="CI21" s="124"/>
      <c r="CK21" s="124"/>
      <c r="CL21" s="124"/>
      <c r="CN21" s="124"/>
      <c r="CO21" s="124"/>
      <c r="CP21" s="124"/>
      <c r="CQ21" s="124"/>
      <c r="CR21" s="124"/>
      <c r="CS21" s="124"/>
      <c r="CT21" s="124"/>
      <c r="CU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GC21" s="123"/>
      <c r="GE21" s="123"/>
      <c r="GI21" s="123"/>
      <c r="GJ21" s="123"/>
      <c r="GK21" s="123"/>
      <c r="GM21" s="123"/>
      <c r="GN21" s="123"/>
      <c r="GO21" s="123"/>
      <c r="GP21" s="123"/>
      <c r="GQ21" s="123"/>
      <c r="GR21" s="123"/>
      <c r="GS21" s="123"/>
      <c r="GT21" s="123"/>
      <c r="GU21" s="123"/>
      <c r="GV21" s="123"/>
      <c r="GW21" s="123"/>
      <c r="GX21" s="123"/>
      <c r="GY21" s="123"/>
      <c r="GZ21" s="123"/>
      <c r="HA21" s="123"/>
      <c r="HB21" s="123"/>
    </row>
    <row r="22" spans="1:210" s="100" customFormat="1" x14ac:dyDescent="0.2">
      <c r="A22" s="97" t="s">
        <v>133</v>
      </c>
      <c r="B22" s="98"/>
      <c r="C22" s="98"/>
      <c r="D22" s="99"/>
      <c r="E22" s="99"/>
      <c r="F22" s="98"/>
      <c r="G22" s="98"/>
      <c r="H22" s="98"/>
      <c r="I22" s="98"/>
      <c r="J22" s="98"/>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GC22" s="102"/>
      <c r="GD22" s="102"/>
      <c r="GE22" s="102"/>
      <c r="GF22" s="102"/>
      <c r="GG22" s="102"/>
      <c r="GH22" s="102"/>
      <c r="GI22" s="102"/>
      <c r="GJ22" s="102"/>
      <c r="GK22" s="102"/>
      <c r="GL22" s="102"/>
      <c r="GM22" s="102"/>
      <c r="GN22" s="102"/>
      <c r="GO22" s="102"/>
      <c r="GP22" s="102"/>
      <c r="GQ22" s="102"/>
      <c r="GR22" s="102"/>
      <c r="GS22" s="102"/>
      <c r="GT22" s="102"/>
      <c r="GU22" s="102"/>
      <c r="GV22" s="102"/>
      <c r="GW22" s="102"/>
      <c r="GX22" s="102"/>
      <c r="GY22" s="102"/>
      <c r="GZ22" s="102"/>
      <c r="HA22" s="102"/>
      <c r="HB22" s="102"/>
    </row>
    <row r="23" spans="1:210" s="111" customFormat="1" ht="25.5" x14ac:dyDescent="0.2">
      <c r="A23" s="97" t="s">
        <v>134</v>
      </c>
      <c r="B23" s="109"/>
      <c r="C23" s="109"/>
      <c r="D23" s="109"/>
      <c r="E23" s="99"/>
      <c r="F23" s="109"/>
      <c r="G23" s="109"/>
      <c r="H23" s="109"/>
      <c r="I23" s="109"/>
      <c r="J23" s="109"/>
      <c r="K23" s="99"/>
      <c r="L23" s="110"/>
      <c r="M23" s="98"/>
      <c r="N23" s="110"/>
      <c r="O23" s="110"/>
      <c r="P23" s="110"/>
      <c r="Q23" s="109"/>
      <c r="R23" s="110"/>
      <c r="S23" s="109"/>
      <c r="T23" s="110"/>
      <c r="U23" s="110"/>
      <c r="V23" s="110"/>
      <c r="W23" s="110"/>
      <c r="X23" s="109"/>
      <c r="Y23" s="110"/>
      <c r="Z23" s="110"/>
      <c r="AA23" s="110"/>
      <c r="AB23" s="110"/>
      <c r="AC23" s="110"/>
      <c r="AD23" s="110"/>
      <c r="AE23" s="110"/>
      <c r="AF23" s="110"/>
      <c r="AG23" s="110"/>
      <c r="AH23" s="110"/>
      <c r="AI23" s="110"/>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row>
    <row r="24" spans="1:210" s="106" customFormat="1" ht="25.5" x14ac:dyDescent="0.2">
      <c r="A24" s="90" t="s">
        <v>135</v>
      </c>
      <c r="B24" s="104"/>
      <c r="C24" s="91"/>
      <c r="D24" s="92"/>
      <c r="E24" s="92"/>
      <c r="F24" s="91"/>
      <c r="G24" s="91" t="s">
        <v>662</v>
      </c>
      <c r="H24" s="104"/>
      <c r="I24" s="104"/>
      <c r="J24" s="104"/>
      <c r="K24" s="92"/>
      <c r="L24" s="105"/>
      <c r="M24" s="91"/>
      <c r="N24" s="105"/>
      <c r="O24" s="105"/>
      <c r="P24" s="105"/>
      <c r="Q24" s="92"/>
      <c r="R24" s="105"/>
      <c r="S24" s="91"/>
      <c r="T24" s="105"/>
      <c r="U24" s="105"/>
      <c r="V24" s="105"/>
      <c r="W24" s="105"/>
      <c r="X24" s="105"/>
      <c r="Y24" s="105"/>
      <c r="Z24" s="105"/>
      <c r="AA24" s="105"/>
      <c r="AB24" s="105"/>
      <c r="AC24" s="105"/>
      <c r="AD24" s="105"/>
      <c r="AE24" s="105"/>
      <c r="AF24" s="105"/>
      <c r="AG24" s="105"/>
      <c r="AH24" s="105"/>
      <c r="AI24" s="105"/>
      <c r="GC24" s="107"/>
      <c r="GD24" s="107"/>
      <c r="GE24" s="107"/>
      <c r="GF24" s="107"/>
      <c r="GG24" s="107"/>
      <c r="GH24" s="107"/>
      <c r="GI24" s="107"/>
      <c r="GJ24" s="107"/>
      <c r="GK24" s="107"/>
      <c r="GL24" s="107"/>
      <c r="GM24" s="107"/>
      <c r="GN24" s="107"/>
      <c r="GO24" s="107"/>
      <c r="GP24" s="107"/>
      <c r="GQ24" s="107"/>
      <c r="GR24" s="107"/>
      <c r="GS24" s="107"/>
      <c r="GT24" s="107"/>
      <c r="GU24" s="107"/>
      <c r="GV24" s="107"/>
      <c r="GW24" s="107"/>
      <c r="GX24" s="107"/>
      <c r="GY24" s="107"/>
      <c r="GZ24" s="107"/>
      <c r="HA24" s="107"/>
      <c r="HB24" s="107"/>
    </row>
    <row r="25" spans="1:210" s="93" customFormat="1" x14ac:dyDescent="0.2">
      <c r="A25" s="90" t="s">
        <v>136</v>
      </c>
      <c r="B25" s="91"/>
      <c r="C25" s="91"/>
      <c r="D25" s="91"/>
      <c r="E25" s="92"/>
      <c r="F25" s="91"/>
      <c r="G25" s="91"/>
      <c r="H25" s="91"/>
      <c r="I25" s="91"/>
      <c r="J25" s="91"/>
      <c r="K25" s="92"/>
      <c r="L25" s="92"/>
      <c r="M25" s="91"/>
      <c r="N25" s="92"/>
      <c r="O25" s="92"/>
      <c r="P25" s="92"/>
      <c r="Q25" s="91"/>
      <c r="R25" s="92"/>
      <c r="S25" s="91"/>
      <c r="T25" s="92"/>
      <c r="U25" s="92"/>
      <c r="V25" s="92"/>
      <c r="W25" s="92"/>
      <c r="X25" s="92"/>
      <c r="Y25" s="92"/>
      <c r="Z25" s="92"/>
      <c r="AA25" s="92"/>
      <c r="AB25" s="92"/>
      <c r="AC25" s="92"/>
      <c r="AD25" s="92"/>
      <c r="AE25" s="92"/>
      <c r="AF25" s="92"/>
      <c r="AG25" s="92"/>
      <c r="AH25" s="92"/>
      <c r="AI25" s="92"/>
      <c r="GC25" s="94"/>
      <c r="GD25" s="94"/>
      <c r="GE25" s="94"/>
      <c r="GF25" s="94"/>
      <c r="GG25" s="94"/>
      <c r="GH25" s="94"/>
      <c r="GI25" s="94"/>
      <c r="GJ25" s="94"/>
      <c r="GK25" s="94"/>
      <c r="GL25" s="94"/>
      <c r="GM25" s="94"/>
      <c r="GN25" s="94"/>
      <c r="GO25" s="94"/>
      <c r="GP25" s="94"/>
      <c r="GQ25" s="94"/>
      <c r="GR25" s="94"/>
      <c r="GS25" s="94"/>
      <c r="GT25" s="94"/>
      <c r="GU25" s="94"/>
      <c r="GV25" s="94"/>
      <c r="GW25" s="94"/>
      <c r="GX25" s="94"/>
      <c r="GY25" s="94"/>
      <c r="GZ25" s="94"/>
      <c r="HA25" s="94"/>
      <c r="HB25" s="94"/>
    </row>
    <row r="26" spans="1:210" s="100" customFormat="1" ht="103.5" customHeight="1" x14ac:dyDescent="0.2">
      <c r="A26" s="101" t="s">
        <v>137</v>
      </c>
      <c r="B26" s="98" t="s">
        <v>378</v>
      </c>
      <c r="C26" s="98" t="s">
        <v>384</v>
      </c>
      <c r="D26" s="98" t="s">
        <v>392</v>
      </c>
      <c r="E26" s="125" t="s">
        <v>569</v>
      </c>
      <c r="F26" s="98" t="s">
        <v>575</v>
      </c>
      <c r="G26" s="98" t="s">
        <v>663</v>
      </c>
      <c r="H26" s="98"/>
      <c r="I26" s="98"/>
      <c r="J26" s="98"/>
      <c r="K26" s="125"/>
      <c r="L26" s="98"/>
      <c r="M26" s="98"/>
      <c r="N26" s="98"/>
      <c r="O26" s="98"/>
      <c r="P26" s="98"/>
      <c r="Q26" s="98"/>
      <c r="R26" s="98"/>
      <c r="S26" s="98"/>
      <c r="T26" s="98"/>
      <c r="U26" s="98"/>
      <c r="V26" s="98"/>
      <c r="W26" s="98"/>
      <c r="X26" s="98"/>
      <c r="Y26" s="98"/>
      <c r="Z26" s="98"/>
      <c r="AA26" s="126"/>
      <c r="AB26" s="126"/>
      <c r="AC26" s="126"/>
      <c r="AD26" s="98"/>
      <c r="AE26" s="126"/>
      <c r="AF26" s="126"/>
      <c r="AG26" s="126"/>
      <c r="AH26" s="126"/>
      <c r="AI26" s="126"/>
      <c r="AJ26" s="101"/>
      <c r="AK26" s="127"/>
      <c r="AL26" s="127"/>
      <c r="AM26" s="127"/>
      <c r="AN26" s="127"/>
      <c r="AO26" s="127"/>
      <c r="AP26" s="127"/>
      <c r="AQ26" s="127"/>
      <c r="AR26" s="127"/>
      <c r="AS26" s="127"/>
      <c r="AU26" s="101"/>
      <c r="AV26" s="101"/>
      <c r="AW26" s="101"/>
      <c r="AX26" s="101"/>
      <c r="BL26" s="127"/>
      <c r="DS26" s="101"/>
      <c r="DT26" s="101"/>
      <c r="GC26" s="102"/>
      <c r="GD26" s="102"/>
      <c r="GE26" s="102"/>
      <c r="GF26" s="102"/>
      <c r="GG26" s="102"/>
      <c r="GH26" s="102"/>
      <c r="GI26" s="102"/>
      <c r="GJ26" s="102"/>
      <c r="GK26" s="103"/>
      <c r="GL26" s="102"/>
      <c r="GM26" s="102"/>
      <c r="GN26" s="102"/>
      <c r="GO26" s="102"/>
      <c r="GP26" s="102"/>
      <c r="GQ26" s="102"/>
      <c r="GR26" s="102"/>
      <c r="GS26" s="102"/>
      <c r="GT26" s="102"/>
      <c r="GU26" s="102"/>
      <c r="GV26" s="102"/>
      <c r="GW26" s="102"/>
      <c r="GX26" s="102"/>
      <c r="GY26" s="102"/>
      <c r="GZ26" s="102"/>
      <c r="HA26" s="128"/>
      <c r="HB26" s="128"/>
    </row>
    <row r="27" spans="1:210" s="100" customFormat="1" x14ac:dyDescent="0.25">
      <c r="A27" s="97" t="s">
        <v>138</v>
      </c>
      <c r="B27" s="98"/>
      <c r="C27" s="98"/>
      <c r="D27" s="99"/>
      <c r="E27" s="99"/>
      <c r="F27" s="98"/>
      <c r="G27" s="98"/>
      <c r="H27" s="98"/>
      <c r="I27" s="98"/>
      <c r="J27" s="98"/>
      <c r="K27" s="99"/>
      <c r="L27" s="99"/>
      <c r="M27" s="99"/>
      <c r="N27" s="99"/>
      <c r="O27" s="99"/>
      <c r="P27" s="99"/>
      <c r="Q27" s="99"/>
      <c r="R27" s="99"/>
      <c r="S27" s="98"/>
      <c r="T27" s="99"/>
      <c r="U27" s="99"/>
      <c r="V27" s="99"/>
      <c r="W27" s="99"/>
      <c r="X27" s="98"/>
      <c r="Y27" s="99"/>
      <c r="Z27" s="99"/>
      <c r="AA27" s="99"/>
      <c r="AB27" s="99"/>
      <c r="AC27" s="99"/>
      <c r="AD27" s="99"/>
      <c r="AE27" s="99"/>
      <c r="AF27" s="99"/>
      <c r="AG27" s="99"/>
      <c r="AH27" s="99"/>
      <c r="AI27" s="99"/>
    </row>
    <row r="28" spans="1:210" s="129" customFormat="1" ht="12.75" customHeight="1" x14ac:dyDescent="0.25">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row>
    <row r="29" spans="1:210" s="129" customFormat="1" ht="12.75" customHeight="1" x14ac:dyDescent="0.25">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row>
    <row r="30" spans="1:210" s="129" customFormat="1" ht="12.75" customHeight="1" x14ac:dyDescent="0.25">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row>
    <row r="31" spans="1:210" s="129" customFormat="1" ht="12.75" customHeight="1" x14ac:dyDescent="0.25">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row>
    <row r="32" spans="1:210" s="129" customFormat="1" ht="12.75" customHeight="1" x14ac:dyDescent="0.25">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row>
    <row r="33" spans="2:35" s="129" customFormat="1" ht="12.75" customHeight="1" x14ac:dyDescent="0.25">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row>
    <row r="34" spans="2:35" s="129" customFormat="1" ht="12.75" customHeight="1" x14ac:dyDescent="0.25">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row>
    <row r="35" spans="2:35" s="129" customFormat="1" ht="12.75" customHeight="1" x14ac:dyDescent="0.25">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row>
    <row r="36" spans="2:35" s="129" customFormat="1" ht="12.75" customHeight="1" x14ac:dyDescent="0.25">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row>
    <row r="37" spans="2:35" s="129" customFormat="1" ht="12.75" customHeight="1" x14ac:dyDescent="0.25">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row>
    <row r="38" spans="2:35" s="129" customFormat="1" ht="12.75" customHeight="1" x14ac:dyDescent="0.25">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row>
    <row r="39" spans="2:35" s="129" customFormat="1" ht="12.75" customHeight="1" x14ac:dyDescent="0.25">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row>
    <row r="40" spans="2:35" s="129" customFormat="1" ht="12.75" customHeight="1" x14ac:dyDescent="0.25">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row>
    <row r="50" spans="1:35" ht="12.75" customHeight="1" x14ac:dyDescent="0.2">
      <c r="A50" s="131" t="s">
        <v>139</v>
      </c>
    </row>
    <row r="51" spans="1:35" s="134" customFormat="1" ht="12.75" customHeight="1" x14ac:dyDescent="0.25">
      <c r="B51" s="135" t="s">
        <v>140</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row>
    <row r="52" spans="1:35" ht="12.75" customHeight="1" x14ac:dyDescent="0.2">
      <c r="B52" s="136" t="s">
        <v>80</v>
      </c>
    </row>
    <row r="53" spans="1:35" ht="12.75" customHeight="1" x14ac:dyDescent="0.2">
      <c r="B53" s="137" t="s">
        <v>141</v>
      </c>
    </row>
    <row r="54" spans="1:35" ht="12.75" customHeight="1" x14ac:dyDescent="0.2">
      <c r="B54" s="137" t="s">
        <v>142</v>
      </c>
    </row>
    <row r="55" spans="1:35" ht="12.75" customHeight="1" x14ac:dyDescent="0.2">
      <c r="B55" s="137" t="s">
        <v>143</v>
      </c>
    </row>
    <row r="56" spans="1:35" ht="12.75" customHeight="1" x14ac:dyDescent="0.2">
      <c r="B56" s="137" t="s">
        <v>144</v>
      </c>
    </row>
    <row r="57" spans="1:35" ht="12.75" customHeight="1" x14ac:dyDescent="0.2">
      <c r="B57" s="137" t="s">
        <v>145</v>
      </c>
    </row>
    <row r="58" spans="1:35" ht="12.75" customHeight="1" x14ac:dyDescent="0.2">
      <c r="B58" s="137" t="s">
        <v>146</v>
      </c>
    </row>
    <row r="59" spans="1:35" ht="12.75" customHeight="1" x14ac:dyDescent="0.2">
      <c r="B59" s="137" t="s">
        <v>147</v>
      </c>
    </row>
    <row r="60" spans="1:35" ht="12.75" customHeight="1" x14ac:dyDescent="0.2">
      <c r="B60" s="137" t="s">
        <v>148</v>
      </c>
    </row>
  </sheetData>
  <sheetProtection formatCells="0" insertHyperlinks="0"/>
  <dataValidations count="3">
    <dataValidation type="list" allowBlank="1" showInputMessage="1" showErrorMessage="1" prompt="Select from List." sqref="GC3:HB3">
      <formula1>LstSourseType</formula1>
    </dataValidation>
    <dataValidation type="list" allowBlank="1" showInputMessage="1" showErrorMessage="1" prompt="Select from list." sqref="CC16">
      <formula1>"Yes, No"</formula1>
    </dataValidation>
    <dataValidation type="list" allowBlank="1" showInputMessage="1" showErrorMessage="1" prompt="Select from List." sqref="HC3:IV3">
      <formula1>lstSourceType</formula1>
    </dataValidation>
  </dataValidations>
  <hyperlinks>
    <hyperlink ref="B20" r:id="rId1"/>
    <hyperlink ref="E20" r:id="rId2"/>
  </hyperlinks>
  <pageMargins left="0.25" right="0.25" top="0.5" bottom="0.5" header="0.3" footer="0.3"/>
  <pageSetup scale="99" orientation="landscape" r:id="rId3"/>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workbookViewId="0">
      <selection sqref="A1:K1"/>
    </sheetView>
  </sheetViews>
  <sheetFormatPr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16384" width="9.140625" style="3"/>
  </cols>
  <sheetData>
    <row r="1" spans="1:39" ht="20.25" x14ac:dyDescent="0.3">
      <c r="A1" s="306" t="s">
        <v>18</v>
      </c>
      <c r="B1" s="306"/>
      <c r="C1" s="306"/>
      <c r="D1" s="306"/>
      <c r="E1" s="306"/>
      <c r="F1" s="306"/>
      <c r="G1" s="306"/>
      <c r="H1" s="306"/>
      <c r="I1" s="306"/>
      <c r="J1" s="306"/>
      <c r="K1" s="306"/>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38" t="s">
        <v>149</v>
      </c>
      <c r="C2" s="139"/>
      <c r="D2" s="139"/>
      <c r="E2" s="139"/>
      <c r="F2" s="139"/>
      <c r="G2" s="139"/>
      <c r="H2" s="139"/>
    </row>
    <row r="3" spans="1:39" s="137" customFormat="1" ht="40.5" customHeight="1" x14ac:dyDescent="0.2">
      <c r="B3" s="140" t="s">
        <v>150</v>
      </c>
      <c r="C3" s="141" t="s">
        <v>151</v>
      </c>
      <c r="D3" s="141" t="s">
        <v>152</v>
      </c>
      <c r="E3" s="141" t="s">
        <v>86</v>
      </c>
      <c r="F3" s="141" t="s">
        <v>153</v>
      </c>
      <c r="G3" s="141" t="s">
        <v>154</v>
      </c>
      <c r="H3" s="141" t="s">
        <v>155</v>
      </c>
      <c r="I3" s="142" t="s">
        <v>17</v>
      </c>
      <c r="J3" s="141" t="s">
        <v>156</v>
      </c>
      <c r="K3" s="141" t="s">
        <v>157</v>
      </c>
    </row>
    <row r="4" spans="1:39" s="137" customFormat="1" ht="127.5" x14ac:dyDescent="0.2">
      <c r="B4" s="44" t="s">
        <v>665</v>
      </c>
      <c r="C4" s="48" t="s">
        <v>599</v>
      </c>
      <c r="D4" s="143">
        <v>2</v>
      </c>
      <c r="E4" s="143">
        <v>2</v>
      </c>
      <c r="F4" s="143">
        <v>3</v>
      </c>
      <c r="G4" s="143" t="s">
        <v>276</v>
      </c>
      <c r="H4" s="144">
        <v>1</v>
      </c>
      <c r="I4" s="145" t="str">
        <f>IF(D4&lt;&gt;"",D4&amp;","&amp;E4&amp;","&amp;F4&amp;","&amp;G4&amp;","&amp;H4,"0,0,0,0,0")</f>
        <v>2,2,3,N/A,1</v>
      </c>
      <c r="J4" s="146" t="str">
        <f>IF(MAX(D4:H4)&gt;=5, "Requirements not met", "Requirements met")</f>
        <v>Requirements met</v>
      </c>
      <c r="K4" s="147" t="str">
        <f>IF(MAX(D4:H4)&gt;=5, "Not OK", "OK")</f>
        <v>OK</v>
      </c>
    </row>
    <row r="5" spans="1:39" s="137" customFormat="1" ht="25.5" x14ac:dyDescent="0.2">
      <c r="B5" s="44" t="s">
        <v>666</v>
      </c>
      <c r="C5" s="48" t="s">
        <v>577</v>
      </c>
      <c r="D5" s="143">
        <v>2</v>
      </c>
      <c r="E5" s="143">
        <v>2</v>
      </c>
      <c r="F5" s="143">
        <v>2</v>
      </c>
      <c r="G5" s="143" t="s">
        <v>276</v>
      </c>
      <c r="H5" s="144">
        <v>1</v>
      </c>
      <c r="I5" s="145" t="str">
        <f>IF(D5&lt;&gt;"",D5&amp;","&amp;E5&amp;","&amp;F5&amp;","&amp;G5&amp;","&amp;H5,"0,0,0,0,0")</f>
        <v>2,2,2,N/A,1</v>
      </c>
      <c r="J5" s="146" t="str">
        <f>IF(MAX(D5:H5)&gt;=5, "Requirements not met", "Requirements met")</f>
        <v>Requirements met</v>
      </c>
      <c r="K5" s="147" t="str">
        <f>IF(MAX(D5:H5)&gt;=5, "Not OK", "OK")</f>
        <v>OK</v>
      </c>
    </row>
    <row r="6" spans="1:39" s="137" customFormat="1" ht="38.25" x14ac:dyDescent="0.2">
      <c r="B6" s="44" t="s">
        <v>667</v>
      </c>
      <c r="C6" s="48">
        <v>2</v>
      </c>
      <c r="D6" s="143">
        <v>2</v>
      </c>
      <c r="E6" s="143">
        <v>2</v>
      </c>
      <c r="F6" s="143">
        <v>3</v>
      </c>
      <c r="G6" s="143" t="s">
        <v>276</v>
      </c>
      <c r="H6" s="144">
        <v>1</v>
      </c>
      <c r="I6" s="145" t="str">
        <f>IF(D6&lt;&gt;"",D6&amp;","&amp;E6&amp;","&amp;F6&amp;","&amp;G6&amp;","&amp;H6,"0,0,0,0,0")</f>
        <v>2,2,3,N/A,1</v>
      </c>
      <c r="J6" s="146" t="str">
        <f>IF(MAX(D6:H6)&gt;=5, "Requirements not met", "Requirements met")</f>
        <v>Requirements met</v>
      </c>
      <c r="K6" s="147" t="str">
        <f>IF(MAX(D6:H6)&gt;=5, "Not OK", "OK")</f>
        <v>OK</v>
      </c>
    </row>
    <row r="7" spans="1:39" s="137" customFormat="1" x14ac:dyDescent="0.2">
      <c r="B7" s="232"/>
      <c r="C7" s="148"/>
      <c r="D7" s="143"/>
      <c r="E7" s="143"/>
      <c r="F7" s="143"/>
      <c r="G7" s="143"/>
      <c r="H7" s="144"/>
      <c r="I7" s="145" t="str">
        <f>IF(D7&lt;&gt;"",D7&amp;","&amp;E7&amp;","&amp;F7&amp;","&amp;G7&amp;","&amp;H7,"0,0,0,0,0")</f>
        <v>0,0,0,0,0</v>
      </c>
      <c r="J7" s="146" t="str">
        <f>IF(MAX(D7:H7)&gt;=5, "Requirements not met", "Requirements met")</f>
        <v>Requirements met</v>
      </c>
      <c r="K7" s="147" t="str">
        <f>IF(MAX(D7:H7)&gt;=5, "Not OK", "OK")</f>
        <v>OK</v>
      </c>
    </row>
    <row r="8" spans="1:39" s="137" customFormat="1" ht="12.75" customHeight="1" x14ac:dyDescent="0.2">
      <c r="B8" s="149" t="s">
        <v>74</v>
      </c>
      <c r="C8" s="150"/>
      <c r="D8" s="150"/>
      <c r="E8" s="150"/>
      <c r="F8" s="150"/>
      <c r="G8" s="150"/>
      <c r="H8" s="150"/>
      <c r="I8" s="151" t="str">
        <f>MAX(D4:D7)&amp;","&amp;MAX(E4:E7)&amp;","&amp;MAX(F4:F7)&amp;","&amp;MAX(G4:G7)&amp;","&amp;MAX(H4:H7)</f>
        <v>2,2,3,0,1</v>
      </c>
      <c r="J8" s="307"/>
      <c r="K8" s="307"/>
    </row>
    <row r="9" spans="1:39" ht="20.25" x14ac:dyDescent="0.3">
      <c r="B9" s="11"/>
      <c r="C9" s="11"/>
      <c r="D9" s="11"/>
      <c r="E9" s="11"/>
      <c r="F9" s="11"/>
      <c r="G9" s="11"/>
      <c r="H9" s="11"/>
      <c r="I9" s="78"/>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38" t="s">
        <v>158</v>
      </c>
      <c r="C10" s="11"/>
      <c r="D10" s="11"/>
      <c r="E10" s="11"/>
      <c r="F10" s="11"/>
      <c r="G10" s="11"/>
      <c r="H10" s="78"/>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53" customFormat="1" ht="13.5" thickBot="1" x14ac:dyDescent="0.25">
      <c r="A11" s="152" t="s">
        <v>159</v>
      </c>
    </row>
    <row r="12" spans="1:39" ht="17.25" customHeight="1" thickBot="1" x14ac:dyDescent="0.25">
      <c r="B12" s="308" t="s">
        <v>160</v>
      </c>
      <c r="C12" s="310" t="s">
        <v>161</v>
      </c>
      <c r="D12" s="311"/>
      <c r="E12" s="311"/>
      <c r="F12" s="311"/>
      <c r="G12" s="312"/>
    </row>
    <row r="13" spans="1:39" ht="13.5" thickBot="1" x14ac:dyDescent="0.25">
      <c r="B13" s="309"/>
      <c r="C13" s="154">
        <v>1</v>
      </c>
      <c r="D13" s="154">
        <v>2</v>
      </c>
      <c r="E13" s="154">
        <v>3</v>
      </c>
      <c r="F13" s="154">
        <v>4</v>
      </c>
      <c r="G13" s="154">
        <v>5</v>
      </c>
    </row>
    <row r="14" spans="1:39" ht="72.75" thickBot="1" x14ac:dyDescent="0.25">
      <c r="B14" s="313" t="s">
        <v>162</v>
      </c>
      <c r="C14" s="155" t="s">
        <v>163</v>
      </c>
      <c r="D14" s="155" t="s">
        <v>164</v>
      </c>
      <c r="E14" s="155" t="s">
        <v>165</v>
      </c>
      <c r="F14" s="155" t="s">
        <v>166</v>
      </c>
      <c r="G14" s="155" t="s">
        <v>167</v>
      </c>
    </row>
    <row r="15" spans="1:39" ht="24" customHeight="1" thickBot="1" x14ac:dyDescent="0.25">
      <c r="B15" s="314"/>
      <c r="C15" s="316" t="s">
        <v>168</v>
      </c>
      <c r="D15" s="317"/>
      <c r="E15" s="316" t="s">
        <v>169</v>
      </c>
      <c r="F15" s="318"/>
      <c r="G15" s="317"/>
    </row>
    <row r="16" spans="1:39" ht="36.75" thickBot="1" x14ac:dyDescent="0.25">
      <c r="B16" s="315"/>
      <c r="C16" s="156" t="s">
        <v>170</v>
      </c>
      <c r="D16" s="319" t="s">
        <v>171</v>
      </c>
      <c r="E16" s="320"/>
      <c r="F16" s="321" t="s">
        <v>172</v>
      </c>
      <c r="G16" s="322"/>
    </row>
    <row r="17" spans="1:18" ht="60.75" thickBot="1" x14ac:dyDescent="0.25">
      <c r="B17" s="157" t="s">
        <v>86</v>
      </c>
      <c r="C17" s="155" t="s">
        <v>173</v>
      </c>
      <c r="D17" s="155" t="s">
        <v>174</v>
      </c>
      <c r="E17" s="155" t="s">
        <v>175</v>
      </c>
      <c r="F17" s="155" t="s">
        <v>176</v>
      </c>
      <c r="G17" s="155" t="s">
        <v>177</v>
      </c>
    </row>
    <row r="18" spans="1:18" ht="44.25" customHeight="1" thickBot="1" x14ac:dyDescent="0.25">
      <c r="B18" s="157" t="s">
        <v>153</v>
      </c>
      <c r="C18" s="155" t="s">
        <v>178</v>
      </c>
      <c r="D18" s="155" t="s">
        <v>179</v>
      </c>
      <c r="E18" s="155" t="s">
        <v>180</v>
      </c>
      <c r="F18" s="155" t="s">
        <v>181</v>
      </c>
      <c r="G18" s="155" t="s">
        <v>182</v>
      </c>
    </row>
    <row r="19" spans="1:18" ht="44.25" customHeight="1" thickBot="1" x14ac:dyDescent="0.25">
      <c r="B19" s="157" t="s">
        <v>154</v>
      </c>
      <c r="C19" s="155" t="s">
        <v>183</v>
      </c>
      <c r="D19" s="155" t="s">
        <v>184</v>
      </c>
      <c r="E19" s="155" t="s">
        <v>185</v>
      </c>
      <c r="F19" s="155" t="s">
        <v>186</v>
      </c>
      <c r="G19" s="155" t="s">
        <v>187</v>
      </c>
    </row>
    <row r="20" spans="1:18" ht="44.25" customHeight="1" thickBot="1" x14ac:dyDescent="0.25">
      <c r="B20" s="157" t="s">
        <v>188</v>
      </c>
      <c r="C20" s="155" t="s">
        <v>189</v>
      </c>
      <c r="D20" s="316" t="s">
        <v>190</v>
      </c>
      <c r="E20" s="317"/>
      <c r="F20" s="155" t="s">
        <v>191</v>
      </c>
      <c r="G20" s="155" t="s">
        <v>192</v>
      </c>
    </row>
    <row r="21" spans="1:18" x14ac:dyDescent="0.2">
      <c r="B21" s="158"/>
      <c r="C21" s="159"/>
      <c r="D21" s="159"/>
      <c r="E21" s="159"/>
      <c r="F21" s="159"/>
      <c r="G21" s="159"/>
    </row>
    <row r="22" spans="1:18" customFormat="1" ht="15" x14ac:dyDescent="0.25">
      <c r="A22" s="160" t="s">
        <v>193</v>
      </c>
      <c r="C22" s="161"/>
      <c r="D22" s="161"/>
      <c r="E22" s="161"/>
      <c r="F22" s="161"/>
      <c r="G22" s="161"/>
      <c r="H22" s="161"/>
      <c r="I22" s="161"/>
      <c r="J22" s="161"/>
      <c r="K22" s="161"/>
      <c r="L22" s="161"/>
      <c r="M22" s="161"/>
      <c r="N22" s="161"/>
      <c r="O22" s="161"/>
      <c r="P22" s="161"/>
      <c r="Q22" s="161"/>
      <c r="R22" s="161"/>
    </row>
    <row r="23" spans="1:18" customFormat="1" ht="15" x14ac:dyDescent="0.25">
      <c r="B23" s="162" t="s">
        <v>194</v>
      </c>
      <c r="C23" s="163"/>
      <c r="D23" s="163"/>
      <c r="E23" s="163"/>
      <c r="F23" s="163"/>
      <c r="G23" s="163"/>
      <c r="H23" s="164"/>
      <c r="I23" s="161"/>
      <c r="J23" s="161"/>
      <c r="K23" s="161"/>
      <c r="L23" s="161"/>
      <c r="M23" s="161"/>
      <c r="N23" s="161"/>
      <c r="O23" s="161"/>
      <c r="P23" s="161"/>
      <c r="Q23" s="161"/>
      <c r="R23" s="161"/>
    </row>
    <row r="24" spans="1:18" customFormat="1" ht="65.25" customHeight="1" x14ac:dyDescent="0.25">
      <c r="B24" s="165"/>
      <c r="C24" s="287" t="s">
        <v>195</v>
      </c>
      <c r="D24" s="288"/>
      <c r="E24" s="288"/>
      <c r="F24" s="288"/>
      <c r="G24" s="288"/>
      <c r="H24" s="289"/>
      <c r="N24" s="166"/>
      <c r="O24" s="166"/>
      <c r="P24" s="166"/>
      <c r="Q24" s="166"/>
      <c r="R24" s="166"/>
    </row>
    <row r="25" spans="1:18" customFormat="1" ht="15" x14ac:dyDescent="0.25">
      <c r="B25" s="165"/>
      <c r="C25" s="167" t="s">
        <v>196</v>
      </c>
      <c r="D25" s="168"/>
      <c r="E25" s="168"/>
      <c r="F25" s="168"/>
      <c r="G25" s="168"/>
      <c r="H25" s="169"/>
      <c r="I25" s="161"/>
      <c r="J25" s="161"/>
      <c r="K25" s="161"/>
      <c r="L25" s="161"/>
      <c r="M25" s="161"/>
      <c r="N25" s="161"/>
      <c r="O25" s="161"/>
      <c r="P25" s="161"/>
      <c r="Q25" s="161"/>
      <c r="R25" s="161"/>
    </row>
    <row r="26" spans="1:18" customFormat="1" ht="15" x14ac:dyDescent="0.25">
      <c r="B26" s="165"/>
      <c r="C26" s="170" t="s">
        <v>197</v>
      </c>
      <c r="D26" s="171"/>
      <c r="E26" s="171"/>
      <c r="F26" s="171"/>
      <c r="G26" s="171"/>
      <c r="H26" s="172"/>
      <c r="I26" s="161"/>
      <c r="J26" s="161"/>
      <c r="K26" s="161"/>
      <c r="L26" s="161"/>
      <c r="M26" s="161"/>
      <c r="N26" s="161"/>
      <c r="O26" s="161"/>
      <c r="P26" s="161"/>
      <c r="Q26" s="161"/>
      <c r="R26" s="161"/>
    </row>
    <row r="27" spans="1:18" customFormat="1" ht="15" x14ac:dyDescent="0.25">
      <c r="B27" s="165"/>
      <c r="C27" s="170" t="s">
        <v>198</v>
      </c>
      <c r="D27" s="171"/>
      <c r="E27" s="171"/>
      <c r="F27" s="171"/>
      <c r="G27" s="171"/>
      <c r="H27" s="172"/>
      <c r="I27" s="161"/>
      <c r="J27" s="161"/>
      <c r="K27" s="161"/>
      <c r="L27" s="161"/>
      <c r="M27" s="161"/>
      <c r="N27" s="161"/>
      <c r="O27" s="161"/>
      <c r="P27" s="161"/>
      <c r="Q27" s="161"/>
      <c r="R27" s="161"/>
    </row>
    <row r="28" spans="1:18" customFormat="1" ht="15" x14ac:dyDescent="0.25">
      <c r="B28" s="165"/>
      <c r="C28" s="170" t="s">
        <v>199</v>
      </c>
      <c r="D28" s="171"/>
      <c r="E28" s="171"/>
      <c r="F28" s="171"/>
      <c r="G28" s="171"/>
      <c r="H28" s="172"/>
      <c r="I28" s="161"/>
      <c r="J28" s="161"/>
      <c r="K28" s="161"/>
      <c r="L28" s="161"/>
      <c r="M28" s="161"/>
      <c r="N28" s="161"/>
      <c r="O28" s="161"/>
      <c r="P28" s="161"/>
      <c r="Q28" s="161"/>
      <c r="R28" s="161"/>
    </row>
    <row r="29" spans="1:18" customFormat="1" ht="15" x14ac:dyDescent="0.25">
      <c r="B29" s="165"/>
      <c r="C29" s="170" t="s">
        <v>200</v>
      </c>
      <c r="D29" s="171"/>
      <c r="E29" s="171"/>
      <c r="F29" s="171"/>
      <c r="G29" s="171"/>
      <c r="H29" s="172"/>
      <c r="I29" s="161"/>
      <c r="J29" s="161"/>
      <c r="K29" s="161"/>
      <c r="L29" s="161"/>
      <c r="M29" s="161"/>
      <c r="N29" s="161"/>
      <c r="O29" s="161"/>
      <c r="P29" s="161"/>
      <c r="Q29" s="161"/>
      <c r="R29" s="161"/>
    </row>
    <row r="30" spans="1:18" customFormat="1" ht="41.25" customHeight="1" x14ac:dyDescent="0.25">
      <c r="B30" s="165"/>
      <c r="C30" s="303" t="s">
        <v>201</v>
      </c>
      <c r="D30" s="304"/>
      <c r="E30" s="304"/>
      <c r="F30" s="304"/>
      <c r="G30" s="304"/>
      <c r="H30" s="305"/>
      <c r="N30" s="173"/>
      <c r="O30" s="173"/>
      <c r="P30" s="173"/>
      <c r="Q30" s="161"/>
      <c r="R30" s="161"/>
    </row>
    <row r="31" spans="1:18" customFormat="1" ht="38.25" customHeight="1" x14ac:dyDescent="0.25">
      <c r="B31" s="174"/>
      <c r="C31" s="287" t="s">
        <v>202</v>
      </c>
      <c r="D31" s="288"/>
      <c r="E31" s="288"/>
      <c r="F31" s="288"/>
      <c r="G31" s="288"/>
      <c r="H31" s="289"/>
      <c r="N31" s="166"/>
      <c r="O31" s="166"/>
      <c r="P31" s="166"/>
      <c r="Q31" s="166"/>
      <c r="R31" s="161"/>
    </row>
    <row r="32" spans="1:18" customFormat="1" ht="43.5" customHeight="1" x14ac:dyDescent="0.25">
      <c r="B32" s="287" t="s">
        <v>203</v>
      </c>
      <c r="C32" s="288"/>
      <c r="D32" s="288"/>
      <c r="E32" s="288"/>
      <c r="F32" s="288"/>
      <c r="G32" s="288"/>
      <c r="H32" s="289"/>
      <c r="I32" s="161"/>
      <c r="J32" s="161"/>
      <c r="K32" s="161"/>
      <c r="L32" s="161"/>
      <c r="M32" s="161"/>
      <c r="N32" s="161"/>
      <c r="O32" s="161"/>
      <c r="P32" s="161"/>
      <c r="Q32" s="161"/>
      <c r="R32" s="161"/>
    </row>
    <row r="33" spans="1:9" customFormat="1" ht="49.5" customHeight="1" x14ac:dyDescent="0.25">
      <c r="B33" s="287" t="s">
        <v>204</v>
      </c>
      <c r="C33" s="288"/>
      <c r="D33" s="288"/>
      <c r="E33" s="288"/>
      <c r="F33" s="288"/>
      <c r="G33" s="288"/>
      <c r="H33" s="289"/>
      <c r="I33" s="175"/>
    </row>
    <row r="34" spans="1:9" customFormat="1" ht="46.5" customHeight="1" x14ac:dyDescent="0.25">
      <c r="B34" s="287" t="s">
        <v>205</v>
      </c>
      <c r="C34" s="288"/>
      <c r="D34" s="288"/>
      <c r="E34" s="288"/>
      <c r="F34" s="288"/>
      <c r="G34" s="288"/>
      <c r="H34" s="289"/>
      <c r="I34" s="175"/>
    </row>
    <row r="35" spans="1:9" customFormat="1" ht="30" customHeight="1" x14ac:dyDescent="0.25">
      <c r="B35" s="287" t="s">
        <v>206</v>
      </c>
      <c r="C35" s="288"/>
      <c r="D35" s="288"/>
      <c r="E35" s="288"/>
      <c r="F35" s="288"/>
      <c r="G35" s="288"/>
      <c r="H35" s="289"/>
      <c r="I35" s="175"/>
    </row>
    <row r="36" spans="1:9" customFormat="1" ht="15" customHeight="1" x14ac:dyDescent="0.25">
      <c r="A36" s="176" t="s">
        <v>207</v>
      </c>
      <c r="B36" s="176"/>
      <c r="I36" s="177"/>
    </row>
    <row r="37" spans="1:9" customFormat="1" ht="30" customHeight="1" x14ac:dyDescent="0.25">
      <c r="B37" s="290" t="s">
        <v>208</v>
      </c>
      <c r="C37" s="291"/>
      <c r="D37" s="291"/>
      <c r="E37" s="291"/>
      <c r="F37" s="291"/>
      <c r="G37" s="291"/>
      <c r="H37" s="292"/>
    </row>
    <row r="38" spans="1:9" customFormat="1" ht="12.75" customHeight="1" x14ac:dyDescent="0.25">
      <c r="B38" s="293" t="s">
        <v>209</v>
      </c>
      <c r="C38" s="294"/>
      <c r="D38" s="294"/>
      <c r="E38" s="294"/>
      <c r="F38" s="294"/>
      <c r="G38" s="178"/>
      <c r="H38" s="179"/>
    </row>
    <row r="39" spans="1:9" customFormat="1" ht="29.25" customHeight="1" x14ac:dyDescent="0.25">
      <c r="B39" s="295" t="s">
        <v>210</v>
      </c>
      <c r="C39" s="296"/>
      <c r="D39" s="296"/>
      <c r="E39" s="296"/>
      <c r="F39" s="296"/>
      <c r="G39" s="296"/>
      <c r="H39" s="297"/>
    </row>
    <row r="40" spans="1:9" customFormat="1" ht="15" customHeight="1" x14ac:dyDescent="0.25">
      <c r="B40" s="180" t="s">
        <v>211</v>
      </c>
      <c r="C40" s="178"/>
      <c r="D40" s="178"/>
      <c r="E40" s="178"/>
      <c r="F40" s="178"/>
      <c r="G40" s="178"/>
      <c r="H40" s="179"/>
    </row>
    <row r="41" spans="1:9" customFormat="1" ht="30.75" customHeight="1" x14ac:dyDescent="0.25">
      <c r="B41" s="295" t="s">
        <v>212</v>
      </c>
      <c r="C41" s="296"/>
      <c r="D41" s="296"/>
      <c r="E41" s="296"/>
      <c r="F41" s="296"/>
      <c r="G41" s="296"/>
      <c r="H41" s="297"/>
    </row>
    <row r="42" spans="1:9" customFormat="1" ht="12.75" customHeight="1" x14ac:dyDescent="0.25">
      <c r="B42" s="298" t="s">
        <v>213</v>
      </c>
      <c r="C42" s="299"/>
      <c r="D42" s="299"/>
      <c r="E42" s="299"/>
      <c r="F42" s="299"/>
      <c r="G42" s="299"/>
      <c r="H42" s="179"/>
    </row>
    <row r="43" spans="1:9" customFormat="1" ht="35.25" customHeight="1" x14ac:dyDescent="0.25">
      <c r="B43" s="295" t="s">
        <v>214</v>
      </c>
      <c r="C43" s="296"/>
      <c r="D43" s="296"/>
      <c r="E43" s="296"/>
      <c r="F43" s="296"/>
      <c r="G43" s="296"/>
      <c r="H43" s="297"/>
    </row>
    <row r="44" spans="1:9" customFormat="1" ht="24.75" customHeight="1" x14ac:dyDescent="0.25">
      <c r="B44" s="300" t="s">
        <v>215</v>
      </c>
      <c r="C44" s="301"/>
      <c r="D44" s="301"/>
      <c r="E44" s="301"/>
      <c r="F44" s="301"/>
      <c r="G44" s="301"/>
      <c r="H44" s="302"/>
    </row>
    <row r="45" spans="1:9" customFormat="1" ht="27.75" customHeight="1" x14ac:dyDescent="0.25">
      <c r="B45" s="303" t="s">
        <v>216</v>
      </c>
      <c r="C45" s="304"/>
      <c r="D45" s="304"/>
      <c r="E45" s="304"/>
      <c r="F45" s="304"/>
      <c r="G45" s="304"/>
      <c r="H45" s="305"/>
    </row>
    <row r="46" spans="1:9" customFormat="1" ht="21" customHeight="1" x14ac:dyDescent="0.25">
      <c r="B46" s="287" t="s">
        <v>217</v>
      </c>
      <c r="C46" s="288"/>
      <c r="D46" s="288"/>
      <c r="E46" s="288"/>
      <c r="F46" s="288"/>
      <c r="G46" s="288"/>
      <c r="H46" s="289"/>
    </row>
    <row r="47" spans="1:9" customFormat="1" ht="26.25" customHeight="1" x14ac:dyDescent="0.25">
      <c r="B47" s="286" t="s">
        <v>218</v>
      </c>
      <c r="C47" s="286"/>
      <c r="D47" s="286"/>
      <c r="E47" s="286"/>
      <c r="F47" s="286"/>
      <c r="G47" s="286"/>
      <c r="H47" s="286"/>
    </row>
  </sheetData>
  <mergeCells count="27">
    <mergeCell ref="B33:H33"/>
    <mergeCell ref="A1:K1"/>
    <mergeCell ref="J8:K8"/>
    <mergeCell ref="B12:B13"/>
    <mergeCell ref="C12:G12"/>
    <mergeCell ref="B14:B16"/>
    <mergeCell ref="C15:D15"/>
    <mergeCell ref="E15:G15"/>
    <mergeCell ref="B32:H32"/>
    <mergeCell ref="D16:E16"/>
    <mergeCell ref="F16:G16"/>
    <mergeCell ref="D20:E20"/>
    <mergeCell ref="C24:H24"/>
    <mergeCell ref="C30:H30"/>
    <mergeCell ref="C31:H31"/>
    <mergeCell ref="B47:H47"/>
    <mergeCell ref="B34:H34"/>
    <mergeCell ref="B35:H35"/>
    <mergeCell ref="B37:H37"/>
    <mergeCell ref="B38:F38"/>
    <mergeCell ref="B39:H39"/>
    <mergeCell ref="B41:H41"/>
    <mergeCell ref="B42:G42"/>
    <mergeCell ref="B43:H43"/>
    <mergeCell ref="B44:H44"/>
    <mergeCell ref="B45:H45"/>
    <mergeCell ref="B46:H46"/>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B131"/>
  <sheetViews>
    <sheetView workbookViewId="0">
      <selection activeCell="B121" sqref="B121"/>
    </sheetView>
  </sheetViews>
  <sheetFormatPr defaultRowHeight="15" x14ac:dyDescent="0.25"/>
  <cols>
    <col min="1" max="1" width="22" style="198" customWidth="1"/>
    <col min="2" max="3" width="11" style="198" customWidth="1"/>
    <col min="4" max="4" width="19.140625" style="198" customWidth="1"/>
    <col min="5" max="5" width="12.42578125" style="198" customWidth="1"/>
    <col min="6" max="6" width="11" style="198" customWidth="1"/>
    <col min="7" max="8" width="9.140625" style="198" customWidth="1"/>
    <col min="9" max="9" width="19" style="214" customWidth="1"/>
    <col min="10" max="16384" width="9.140625" style="198"/>
  </cols>
  <sheetData>
    <row r="1" spans="1:9" s="199" customFormat="1" x14ac:dyDescent="0.25">
      <c r="H1" s="200" t="s">
        <v>19</v>
      </c>
      <c r="I1" s="201"/>
    </row>
    <row r="2" spans="1:9" s="206" customFormat="1" ht="18" customHeight="1" x14ac:dyDescent="0.25">
      <c r="A2" s="202" t="s">
        <v>19</v>
      </c>
      <c r="B2" s="203" t="s">
        <v>219</v>
      </c>
      <c r="C2" s="204"/>
      <c r="D2" s="202"/>
      <c r="E2" s="202"/>
      <c r="F2" s="202"/>
      <c r="G2" s="202"/>
      <c r="H2" s="202"/>
      <c r="I2" s="205" t="s">
        <v>65</v>
      </c>
    </row>
    <row r="3" spans="1:9" s="206" customFormat="1" x14ac:dyDescent="0.25">
      <c r="A3" s="207" t="s">
        <v>220</v>
      </c>
      <c r="C3" s="208"/>
      <c r="I3" s="209"/>
    </row>
    <row r="4" spans="1:9" s="206" customFormat="1" x14ac:dyDescent="0.25">
      <c r="A4" s="210" t="s">
        <v>221</v>
      </c>
      <c r="B4" s="210" t="s">
        <v>61</v>
      </c>
      <c r="C4" s="210" t="s">
        <v>73</v>
      </c>
      <c r="D4" s="210" t="s">
        <v>222</v>
      </c>
      <c r="E4" s="211" t="s">
        <v>22</v>
      </c>
      <c r="F4" s="212"/>
      <c r="G4" s="212"/>
      <c r="H4" s="212"/>
      <c r="I4" s="213"/>
    </row>
    <row r="6" spans="1:9" x14ac:dyDescent="0.25">
      <c r="A6" s="215"/>
    </row>
    <row r="9" spans="1:9" x14ac:dyDescent="0.25">
      <c r="A9" s="198" t="s">
        <v>252</v>
      </c>
      <c r="B9" s="198">
        <v>6.5000000000000002E-2</v>
      </c>
      <c r="C9" s="198" t="s">
        <v>253</v>
      </c>
      <c r="I9" s="220" t="s">
        <v>563</v>
      </c>
    </row>
    <row r="10" spans="1:9" x14ac:dyDescent="0.25">
      <c r="B10" s="198">
        <f>B9*Conversions!D5</f>
        <v>0.87913671810820238</v>
      </c>
      <c r="C10" s="198" t="s">
        <v>266</v>
      </c>
    </row>
    <row r="11" spans="1:9" x14ac:dyDescent="0.25">
      <c r="A11" s="198" t="s">
        <v>254</v>
      </c>
      <c r="B11" s="198">
        <v>6</v>
      </c>
      <c r="C11" s="198">
        <v>3</v>
      </c>
      <c r="D11" s="198">
        <v>12</v>
      </c>
      <c r="E11" s="198" t="s">
        <v>255</v>
      </c>
    </row>
    <row r="12" spans="1:9" x14ac:dyDescent="0.25">
      <c r="B12" s="198">
        <f>B11*CONVERT(1,"in","m")</f>
        <v>0.15239999999999998</v>
      </c>
      <c r="C12" s="198">
        <f>C11*CONVERT(1,"in","m")</f>
        <v>7.619999999999999E-2</v>
      </c>
      <c r="D12" s="198">
        <f>D11*CONVERT(1,"in","m")</f>
        <v>0.30479999999999996</v>
      </c>
      <c r="E12" s="198" t="s">
        <v>256</v>
      </c>
    </row>
    <row r="13" spans="1:9" x14ac:dyDescent="0.25">
      <c r="A13" s="198" t="s">
        <v>257</v>
      </c>
    </row>
    <row r="14" spans="1:9" x14ac:dyDescent="0.25">
      <c r="A14" s="198" t="s">
        <v>258</v>
      </c>
    </row>
    <row r="15" spans="1:9" x14ac:dyDescent="0.25">
      <c r="A15" s="198" t="s">
        <v>259</v>
      </c>
      <c r="B15" s="198">
        <f>$B$10/B12</f>
        <v>5.7686136358805937</v>
      </c>
      <c r="C15" s="198">
        <f>$B$10/C12</f>
        <v>11.537227271761187</v>
      </c>
      <c r="D15" s="198">
        <f>$B$10/D12</f>
        <v>2.8843068179402969</v>
      </c>
      <c r="E15" s="198" t="s">
        <v>261</v>
      </c>
    </row>
    <row r="17" spans="1:27" x14ac:dyDescent="0.25">
      <c r="P17" s="220"/>
      <c r="AA17" s="220"/>
    </row>
    <row r="18" spans="1:27" x14ac:dyDescent="0.25">
      <c r="A18" s="198" t="s">
        <v>650</v>
      </c>
      <c r="AA18" s="220"/>
    </row>
    <row r="19" spans="1:27" x14ac:dyDescent="0.25">
      <c r="A19" s="198" t="s">
        <v>279</v>
      </c>
      <c r="F19" s="220" t="s">
        <v>354</v>
      </c>
      <c r="I19" s="225" t="s">
        <v>564</v>
      </c>
      <c r="P19" s="220"/>
      <c r="AA19" s="220"/>
    </row>
    <row r="20" spans="1:27" x14ac:dyDescent="0.25">
      <c r="A20" s="220" t="s">
        <v>495</v>
      </c>
      <c r="F20" s="220"/>
      <c r="P20" s="220"/>
      <c r="AA20" s="220"/>
    </row>
    <row r="21" spans="1:27" x14ac:dyDescent="0.25">
      <c r="A21" s="220" t="s">
        <v>496</v>
      </c>
      <c r="F21" s="220"/>
      <c r="P21" s="220"/>
      <c r="AA21" s="220"/>
    </row>
    <row r="22" spans="1:27" x14ac:dyDescent="0.25">
      <c r="AA22" s="220"/>
    </row>
    <row r="23" spans="1:27" x14ac:dyDescent="0.25">
      <c r="A23" s="198" t="s">
        <v>270</v>
      </c>
    </row>
    <row r="24" spans="1:27" x14ac:dyDescent="0.25">
      <c r="A24" s="198" t="s">
        <v>267</v>
      </c>
      <c r="D24" s="198" t="s">
        <v>268</v>
      </c>
      <c r="I24" s="225" t="s">
        <v>565</v>
      </c>
      <c r="AA24" s="220"/>
    </row>
    <row r="25" spans="1:27" x14ac:dyDescent="0.25">
      <c r="AA25" s="220"/>
    </row>
    <row r="26" spans="1:27" x14ac:dyDescent="0.25">
      <c r="A26" s="198" t="s">
        <v>269</v>
      </c>
      <c r="AA26" s="220"/>
    </row>
    <row r="27" spans="1:27" x14ac:dyDescent="0.25">
      <c r="A27" s="198" t="s">
        <v>271</v>
      </c>
      <c r="D27" s="198" t="s">
        <v>274</v>
      </c>
      <c r="I27" s="225" t="s">
        <v>565</v>
      </c>
      <c r="AA27" s="220"/>
    </row>
    <row r="28" spans="1:27" x14ac:dyDescent="0.25">
      <c r="A28" s="198" t="s">
        <v>272</v>
      </c>
      <c r="N28" s="220" t="s">
        <v>564</v>
      </c>
      <c r="AA28" s="220"/>
    </row>
    <row r="29" spans="1:27" x14ac:dyDescent="0.25">
      <c r="A29" s="198" t="s">
        <v>273</v>
      </c>
      <c r="AA29" s="220"/>
    </row>
    <row r="30" spans="1:27" x14ac:dyDescent="0.25">
      <c r="A30" s="220" t="s">
        <v>468</v>
      </c>
      <c r="AA30" s="220"/>
    </row>
    <row r="31" spans="1:27" x14ac:dyDescent="0.25">
      <c r="AA31" s="220"/>
    </row>
    <row r="32" spans="1:27" x14ac:dyDescent="0.25">
      <c r="A32" s="198" t="s">
        <v>651</v>
      </c>
    </row>
    <row r="33" spans="1:21" x14ac:dyDescent="0.25">
      <c r="A33" s="198" t="s">
        <v>278</v>
      </c>
      <c r="E33" s="220" t="s">
        <v>469</v>
      </c>
      <c r="I33" s="225" t="s">
        <v>564</v>
      </c>
    </row>
    <row r="34" spans="1:21" x14ac:dyDescent="0.25">
      <c r="E34" s="220"/>
    </row>
    <row r="35" spans="1:21" x14ac:dyDescent="0.25">
      <c r="A35" s="220" t="s">
        <v>470</v>
      </c>
      <c r="E35" s="220"/>
    </row>
    <row r="36" spans="1:21" x14ac:dyDescent="0.25">
      <c r="A36" s="220" t="s">
        <v>471</v>
      </c>
      <c r="I36" s="225" t="s">
        <v>564</v>
      </c>
    </row>
    <row r="37" spans="1:21" x14ac:dyDescent="0.25">
      <c r="A37" s="220" t="s">
        <v>538</v>
      </c>
    </row>
    <row r="38" spans="1:21" x14ac:dyDescent="0.25">
      <c r="A38" s="220" t="s">
        <v>468</v>
      </c>
    </row>
    <row r="39" spans="1:21" x14ac:dyDescent="0.25">
      <c r="A39" s="220"/>
    </row>
    <row r="40" spans="1:21" x14ac:dyDescent="0.25">
      <c r="J40" s="198" t="s">
        <v>301</v>
      </c>
      <c r="K40" s="198">
        <v>12.0107</v>
      </c>
      <c r="L40" s="198" t="s">
        <v>299</v>
      </c>
      <c r="P40"/>
      <c r="Q40"/>
      <c r="R40"/>
      <c r="S40"/>
      <c r="T40"/>
      <c r="U40"/>
    </row>
    <row r="41" spans="1:21" x14ac:dyDescent="0.25">
      <c r="A41" s="198" t="s">
        <v>283</v>
      </c>
      <c r="B41" s="198" t="s">
        <v>297</v>
      </c>
      <c r="D41" s="198" t="s">
        <v>311</v>
      </c>
      <c r="E41" s="198" t="s">
        <v>312</v>
      </c>
      <c r="F41" s="216" t="s">
        <v>310</v>
      </c>
      <c r="J41" s="198" t="s">
        <v>302</v>
      </c>
      <c r="K41" s="198">
        <v>15.9994</v>
      </c>
      <c r="L41" s="198" t="s">
        <v>299</v>
      </c>
      <c r="O41" s="220" t="s">
        <v>570</v>
      </c>
      <c r="P41"/>
      <c r="Q41"/>
      <c r="R41"/>
      <c r="S41"/>
      <c r="T41"/>
      <c r="U41"/>
    </row>
    <row r="42" spans="1:21" x14ac:dyDescent="0.25">
      <c r="A42" s="198" t="s">
        <v>441</v>
      </c>
      <c r="B42" s="198">
        <v>0.49099999999999999</v>
      </c>
      <c r="C42" s="198" t="s">
        <v>298</v>
      </c>
      <c r="D42" s="198">
        <v>1</v>
      </c>
      <c r="E42" s="198">
        <v>2</v>
      </c>
      <c r="F42" s="198">
        <f t="shared" ref="F42:F56" si="0">$D42*$K50+$E42*$K$41</f>
        <v>172.1148</v>
      </c>
      <c r="G42" s="198" t="s">
        <v>299</v>
      </c>
      <c r="J42" s="220" t="s">
        <v>465</v>
      </c>
      <c r="K42" s="198">
        <v>18.9984</v>
      </c>
      <c r="L42" s="198" t="s">
        <v>299</v>
      </c>
      <c r="P42"/>
      <c r="Q42"/>
      <c r="R42"/>
      <c r="S42"/>
      <c r="T42"/>
      <c r="U42"/>
    </row>
    <row r="43" spans="1:21" x14ac:dyDescent="0.25">
      <c r="A43" s="198" t="s">
        <v>442</v>
      </c>
      <c r="B43" s="198">
        <v>0.33200000000000002</v>
      </c>
      <c r="C43" s="198" t="s">
        <v>298</v>
      </c>
      <c r="D43" s="198">
        <v>2</v>
      </c>
      <c r="E43" s="198">
        <v>3</v>
      </c>
      <c r="F43" s="198">
        <f t="shared" si="0"/>
        <v>325.80914000000001</v>
      </c>
      <c r="G43" s="198" t="s">
        <v>299</v>
      </c>
      <c r="J43" s="198" t="s">
        <v>303</v>
      </c>
      <c r="K43" s="198">
        <v>22.989768999999999</v>
      </c>
      <c r="L43" s="198" t="s">
        <v>299</v>
      </c>
      <c r="P43"/>
      <c r="Q43"/>
      <c r="R43"/>
      <c r="S43"/>
      <c r="T43"/>
      <c r="U43"/>
    </row>
    <row r="44" spans="1:21" x14ac:dyDescent="0.25">
      <c r="A44" s="198" t="s">
        <v>443</v>
      </c>
      <c r="B44" s="198">
        <v>4.3400000000000001E-2</v>
      </c>
      <c r="C44" s="198" t="s">
        <v>298</v>
      </c>
      <c r="D44" s="198">
        <v>6</v>
      </c>
      <c r="E44" s="198">
        <v>11</v>
      </c>
      <c r="F44" s="198">
        <f t="shared" si="0"/>
        <v>1021.4393</v>
      </c>
      <c r="G44" s="198" t="s">
        <v>299</v>
      </c>
      <c r="J44" s="198" t="s">
        <v>304</v>
      </c>
      <c r="K44" s="198">
        <v>1.0079400000000001</v>
      </c>
      <c r="L44" s="198" t="s">
        <v>299</v>
      </c>
      <c r="P44"/>
      <c r="Q44"/>
      <c r="R44"/>
      <c r="S44"/>
      <c r="T44"/>
      <c r="U44"/>
    </row>
    <row r="45" spans="1:21" x14ac:dyDescent="0.25">
      <c r="A45" s="198" t="s">
        <v>444</v>
      </c>
      <c r="B45" s="198">
        <v>0.12</v>
      </c>
      <c r="C45" s="198" t="s">
        <v>298</v>
      </c>
      <c r="D45" s="198">
        <v>2</v>
      </c>
      <c r="E45" s="198">
        <v>3</v>
      </c>
      <c r="F45" s="198">
        <f t="shared" si="0"/>
        <v>336.48219999999998</v>
      </c>
      <c r="G45" s="198" t="s">
        <v>299</v>
      </c>
      <c r="J45" s="198" t="s">
        <v>305</v>
      </c>
      <c r="K45" s="218">
        <v>35.453000000000003</v>
      </c>
      <c r="L45" s="198" t="s">
        <v>299</v>
      </c>
      <c r="P45"/>
      <c r="Q45"/>
      <c r="R45"/>
      <c r="S45"/>
      <c r="T45"/>
      <c r="U45"/>
    </row>
    <row r="46" spans="1:21" x14ac:dyDescent="0.25">
      <c r="A46" s="198" t="s">
        <v>445</v>
      </c>
      <c r="B46" s="198">
        <v>7.8899999999999994E-3</v>
      </c>
      <c r="C46" s="198" t="s">
        <v>298</v>
      </c>
      <c r="D46" s="198">
        <v>2</v>
      </c>
      <c r="E46" s="198">
        <v>3</v>
      </c>
      <c r="F46" s="198">
        <f t="shared" si="0"/>
        <v>348.71820000000002</v>
      </c>
      <c r="G46" s="198" t="s">
        <v>299</v>
      </c>
      <c r="J46" s="198" t="s">
        <v>306</v>
      </c>
      <c r="K46" s="198">
        <v>14.0067</v>
      </c>
      <c r="L46" s="198" t="s">
        <v>299</v>
      </c>
    </row>
    <row r="47" spans="1:21" x14ac:dyDescent="0.25">
      <c r="A47" s="198" t="s">
        <v>446</v>
      </c>
      <c r="B47" s="198">
        <v>1.1800000000000001E-3</v>
      </c>
      <c r="C47" s="198" t="s">
        <v>298</v>
      </c>
      <c r="D47" s="198">
        <v>2</v>
      </c>
      <c r="E47" s="198">
        <v>3</v>
      </c>
      <c r="F47" s="198">
        <f t="shared" si="0"/>
        <v>351.92619999999999</v>
      </c>
      <c r="G47" s="198" t="s">
        <v>299</v>
      </c>
      <c r="J47" s="198" t="s">
        <v>307</v>
      </c>
      <c r="K47" s="198">
        <v>40.078000000000003</v>
      </c>
      <c r="L47" s="198" t="s">
        <v>299</v>
      </c>
    </row>
    <row r="48" spans="1:21" x14ac:dyDescent="0.25">
      <c r="A48" s="198" t="s">
        <v>447</v>
      </c>
      <c r="B48" s="198">
        <v>1.66E-3</v>
      </c>
      <c r="C48" s="198" t="s">
        <v>298</v>
      </c>
      <c r="D48" s="198">
        <v>2</v>
      </c>
      <c r="E48" s="198">
        <v>3</v>
      </c>
      <c r="F48" s="198">
        <f t="shared" si="0"/>
        <v>362.4982</v>
      </c>
      <c r="G48" s="198" t="s">
        <v>299</v>
      </c>
      <c r="J48" s="198" t="s">
        <v>308</v>
      </c>
      <c r="K48" s="198">
        <v>34.997799999999998</v>
      </c>
      <c r="L48" s="198" t="s">
        <v>299</v>
      </c>
    </row>
    <row r="49" spans="1:12" x14ac:dyDescent="0.25">
      <c r="A49" s="220" t="s">
        <v>448</v>
      </c>
      <c r="B49" s="198">
        <v>1.5899999999999999E-4</v>
      </c>
      <c r="C49" s="198" t="s">
        <v>298</v>
      </c>
      <c r="D49" s="198">
        <v>4</v>
      </c>
      <c r="E49" s="198">
        <v>7</v>
      </c>
      <c r="F49" s="198">
        <f t="shared" si="0"/>
        <v>747.69720000000007</v>
      </c>
      <c r="G49" s="198" t="s">
        <v>299</v>
      </c>
      <c r="J49" s="198" t="s">
        <v>309</v>
      </c>
      <c r="K49" s="198">
        <v>56.995199999999997</v>
      </c>
      <c r="L49" s="198" t="s">
        <v>299</v>
      </c>
    </row>
    <row r="50" spans="1:12" x14ac:dyDescent="0.25">
      <c r="A50" s="198" t="s">
        <v>449</v>
      </c>
      <c r="B50" s="198">
        <v>3.1199999999999999E-4</v>
      </c>
      <c r="C50" s="198" t="s">
        <v>298</v>
      </c>
      <c r="D50" s="198">
        <v>2</v>
      </c>
      <c r="E50" s="198">
        <v>3</v>
      </c>
      <c r="F50" s="198">
        <f t="shared" si="0"/>
        <v>372.9982</v>
      </c>
      <c r="G50" s="198" t="s">
        <v>299</v>
      </c>
      <c r="J50" s="198" t="s">
        <v>281</v>
      </c>
      <c r="K50" s="198">
        <v>140.11600000000001</v>
      </c>
      <c r="L50" s="198" t="s">
        <v>299</v>
      </c>
    </row>
    <row r="51" spans="1:12" x14ac:dyDescent="0.25">
      <c r="A51" s="198" t="s">
        <v>450</v>
      </c>
      <c r="B51" s="198">
        <v>5.1E-5</v>
      </c>
      <c r="C51" s="198" t="s">
        <v>298</v>
      </c>
      <c r="D51" s="198">
        <v>2</v>
      </c>
      <c r="E51" s="198">
        <v>3</v>
      </c>
      <c r="F51" s="198">
        <f t="shared" si="0"/>
        <v>377.85883999999999</v>
      </c>
      <c r="G51" s="198" t="s">
        <v>299</v>
      </c>
      <c r="J51" s="198" t="s">
        <v>282</v>
      </c>
      <c r="K51" s="198">
        <v>138.90547000000001</v>
      </c>
      <c r="L51" s="198" t="s">
        <v>299</v>
      </c>
    </row>
    <row r="52" spans="1:12" x14ac:dyDescent="0.25">
      <c r="A52" s="198" t="s">
        <v>451</v>
      </c>
      <c r="B52" s="198">
        <v>3.4999999999999997E-5</v>
      </c>
      <c r="C52" s="198" t="s">
        <v>298</v>
      </c>
      <c r="D52" s="198">
        <v>2</v>
      </c>
      <c r="E52" s="198">
        <v>3</v>
      </c>
      <c r="F52" s="198">
        <f t="shared" si="0"/>
        <v>382.51619999999997</v>
      </c>
      <c r="G52" s="198" t="s">
        <v>299</v>
      </c>
      <c r="J52" s="198" t="s">
        <v>284</v>
      </c>
      <c r="K52" s="198">
        <v>140.90764999999999</v>
      </c>
      <c r="L52" s="198" t="s">
        <v>299</v>
      </c>
    </row>
    <row r="53" spans="1:12" x14ac:dyDescent="0.25">
      <c r="A53" s="198" t="s">
        <v>452</v>
      </c>
      <c r="B53" s="198">
        <v>9.0000000000000002E-6</v>
      </c>
      <c r="C53" s="198" t="s">
        <v>298</v>
      </c>
      <c r="D53" s="198">
        <v>2</v>
      </c>
      <c r="E53" s="198">
        <v>3</v>
      </c>
      <c r="F53" s="198">
        <f t="shared" si="0"/>
        <v>385.86662000000001</v>
      </c>
      <c r="G53" s="198" t="s">
        <v>299</v>
      </c>
      <c r="J53" s="198" t="s">
        <v>285</v>
      </c>
      <c r="K53" s="198">
        <v>144.24199999999999</v>
      </c>
      <c r="L53" s="198" t="s">
        <v>299</v>
      </c>
    </row>
    <row r="54" spans="1:12" x14ac:dyDescent="0.25">
      <c r="A54" s="198" t="s">
        <v>453</v>
      </c>
      <c r="B54" s="198">
        <v>6.0000000000000002E-6</v>
      </c>
      <c r="C54" s="198" t="s">
        <v>298</v>
      </c>
      <c r="D54" s="198">
        <v>2</v>
      </c>
      <c r="E54" s="198">
        <v>3</v>
      </c>
      <c r="F54" s="198">
        <f t="shared" si="0"/>
        <v>394.07819999999998</v>
      </c>
      <c r="G54" s="198" t="s">
        <v>299</v>
      </c>
      <c r="J54" s="198" t="s">
        <v>286</v>
      </c>
      <c r="K54" s="198">
        <v>150.36000000000001</v>
      </c>
      <c r="L54" s="198" t="s">
        <v>299</v>
      </c>
    </row>
    <row r="55" spans="1:12" x14ac:dyDescent="0.25">
      <c r="A55" s="198" t="s">
        <v>454</v>
      </c>
      <c r="B55" s="198">
        <v>9.9999999999999995E-7</v>
      </c>
      <c r="C55" s="198" t="s">
        <v>298</v>
      </c>
      <c r="D55" s="198">
        <v>2</v>
      </c>
      <c r="E55" s="198">
        <v>3</v>
      </c>
      <c r="F55" s="198">
        <f t="shared" si="0"/>
        <v>397.93220000000002</v>
      </c>
      <c r="G55" s="198" t="s">
        <v>299</v>
      </c>
      <c r="J55" s="198" t="s">
        <v>287</v>
      </c>
      <c r="K55" s="198">
        <v>151.964</v>
      </c>
      <c r="L55" s="198" t="s">
        <v>299</v>
      </c>
    </row>
    <row r="56" spans="1:12" x14ac:dyDescent="0.25">
      <c r="A56" s="198" t="s">
        <v>455</v>
      </c>
      <c r="B56" s="198">
        <v>9.1299999999999997E-4</v>
      </c>
      <c r="C56" s="198" t="s">
        <v>298</v>
      </c>
      <c r="D56" s="198">
        <v>2</v>
      </c>
      <c r="E56" s="198">
        <v>3</v>
      </c>
      <c r="F56" s="198">
        <f t="shared" si="0"/>
        <v>225.8099</v>
      </c>
      <c r="G56" s="198" t="s">
        <v>299</v>
      </c>
      <c r="J56" s="198" t="s">
        <v>288</v>
      </c>
      <c r="K56" s="198">
        <v>157.25</v>
      </c>
      <c r="L56" s="198" t="s">
        <v>299</v>
      </c>
    </row>
    <row r="57" spans="1:12" x14ac:dyDescent="0.25">
      <c r="D57" s="198" t="s">
        <v>316</v>
      </c>
      <c r="J57" s="198" t="s">
        <v>289</v>
      </c>
      <c r="K57" s="198">
        <v>158.92535000000001</v>
      </c>
      <c r="L57" s="198" t="s">
        <v>299</v>
      </c>
    </row>
    <row r="58" spans="1:12" x14ac:dyDescent="0.25">
      <c r="A58" s="198" t="s">
        <v>281</v>
      </c>
      <c r="B58" s="198">
        <f>B42*1000/F42*D42</f>
        <v>2.8527471199455245</v>
      </c>
      <c r="C58" s="198" t="s">
        <v>313</v>
      </c>
      <c r="D58" s="217">
        <f>B58/SUM($B$58:$B$72)</f>
        <v>0.48097238607820053</v>
      </c>
      <c r="E58" s="198" t="s">
        <v>317</v>
      </c>
      <c r="F58" s="198">
        <f t="shared" ref="F58:F72" si="1">B58*K50</f>
        <v>399.71551545828714</v>
      </c>
      <c r="G58" s="198" t="s">
        <v>318</v>
      </c>
      <c r="J58" s="198" t="s">
        <v>290</v>
      </c>
      <c r="K58" s="198">
        <v>162.5</v>
      </c>
      <c r="L58" s="198" t="s">
        <v>299</v>
      </c>
    </row>
    <row r="59" spans="1:12" x14ac:dyDescent="0.25">
      <c r="A59" s="198" t="s">
        <v>282</v>
      </c>
      <c r="B59" s="198">
        <f t="shared" ref="B59:B72" si="2">B43*1000/F43*D43</f>
        <v>2.0380029854288311</v>
      </c>
      <c r="C59" s="198" t="s">
        <v>313</v>
      </c>
      <c r="D59" s="217">
        <f t="shared" ref="D59:D72" si="3">B59/SUM($B$58:$B$72)</f>
        <v>0.34360674729378715</v>
      </c>
      <c r="E59" s="198" t="s">
        <v>317</v>
      </c>
      <c r="F59" s="198">
        <f t="shared" si="1"/>
        <v>283.08976255239497</v>
      </c>
      <c r="G59" s="198" t="s">
        <v>318</v>
      </c>
      <c r="J59" s="198" t="s">
        <v>291</v>
      </c>
      <c r="K59" s="198">
        <v>164.93031999999999</v>
      </c>
      <c r="L59" s="198" t="s">
        <v>299</v>
      </c>
    </row>
    <row r="60" spans="1:12" x14ac:dyDescent="0.25">
      <c r="A60" s="198" t="s">
        <v>284</v>
      </c>
      <c r="B60" s="198">
        <f t="shared" si="2"/>
        <v>0.25493438523463896</v>
      </c>
      <c r="C60" s="198" t="s">
        <v>313</v>
      </c>
      <c r="D60" s="217">
        <f t="shared" si="3"/>
        <v>4.2981867794164991E-2</v>
      </c>
      <c r="E60" s="198" t="s">
        <v>317</v>
      </c>
      <c r="F60" s="198">
        <f t="shared" si="1"/>
        <v>35.922205127607668</v>
      </c>
      <c r="G60" s="198" t="s">
        <v>318</v>
      </c>
      <c r="J60" s="198" t="s">
        <v>292</v>
      </c>
      <c r="K60" s="198">
        <v>167.25899999999999</v>
      </c>
      <c r="L60" s="198" t="s">
        <v>299</v>
      </c>
    </row>
    <row r="61" spans="1:12" x14ac:dyDescent="0.25">
      <c r="A61" s="198" t="s">
        <v>285</v>
      </c>
      <c r="B61" s="198">
        <f t="shared" si="2"/>
        <v>0.71326209826255305</v>
      </c>
      <c r="C61" s="198" t="s">
        <v>313</v>
      </c>
      <c r="D61" s="217">
        <f t="shared" si="3"/>
        <v>0.12025579516036285</v>
      </c>
      <c r="E61" s="198" t="s">
        <v>317</v>
      </c>
      <c r="F61" s="198">
        <f t="shared" si="1"/>
        <v>102.88235157758717</v>
      </c>
      <c r="G61" s="198" t="s">
        <v>318</v>
      </c>
      <c r="J61" s="198" t="s">
        <v>293</v>
      </c>
      <c r="K61" s="198">
        <v>168.93421000000001</v>
      </c>
      <c r="L61" s="198" t="s">
        <v>299</v>
      </c>
    </row>
    <row r="62" spans="1:12" x14ac:dyDescent="0.25">
      <c r="A62" s="198" t="s">
        <v>286</v>
      </c>
      <c r="B62" s="198">
        <f t="shared" si="2"/>
        <v>4.5251437980581448E-2</v>
      </c>
      <c r="C62" s="198" t="s">
        <v>313</v>
      </c>
      <c r="D62" s="217">
        <f t="shared" si="3"/>
        <v>7.6293800971063922E-3</v>
      </c>
      <c r="E62" s="198" t="s">
        <v>317</v>
      </c>
      <c r="F62" s="198">
        <f t="shared" si="1"/>
        <v>6.8040062147602267</v>
      </c>
      <c r="G62" s="198" t="s">
        <v>318</v>
      </c>
      <c r="J62" s="198" t="s">
        <v>294</v>
      </c>
      <c r="K62" s="198">
        <v>173.04</v>
      </c>
      <c r="L62" s="198" t="s">
        <v>299</v>
      </c>
    </row>
    <row r="63" spans="1:12" x14ac:dyDescent="0.25">
      <c r="A63" s="198" t="s">
        <v>287</v>
      </c>
      <c r="B63" s="198">
        <f t="shared" si="2"/>
        <v>6.7059514182234809E-3</v>
      </c>
      <c r="C63" s="198" t="s">
        <v>313</v>
      </c>
      <c r="D63" s="217">
        <f t="shared" si="3"/>
        <v>1.13062157945813E-3</v>
      </c>
      <c r="E63" s="198" t="s">
        <v>317</v>
      </c>
      <c r="F63" s="198">
        <f t="shared" si="1"/>
        <v>1.0190632013189131</v>
      </c>
      <c r="G63" s="198" t="s">
        <v>318</v>
      </c>
      <c r="J63" s="198" t="s">
        <v>295</v>
      </c>
      <c r="K63" s="198">
        <v>174.96700000000001</v>
      </c>
      <c r="L63" s="198" t="s">
        <v>299</v>
      </c>
    </row>
    <row r="64" spans="1:12" x14ac:dyDescent="0.25">
      <c r="A64" s="198" t="s">
        <v>288</v>
      </c>
      <c r="B64" s="198">
        <f t="shared" si="2"/>
        <v>9.1586661671699335E-3</v>
      </c>
      <c r="C64" s="198" t="s">
        <v>313</v>
      </c>
      <c r="D64" s="217">
        <f t="shared" si="3"/>
        <v>1.544148616930872E-3</v>
      </c>
      <c r="E64" s="198" t="s">
        <v>317</v>
      </c>
      <c r="F64" s="198">
        <f t="shared" si="1"/>
        <v>1.4402002547874719</v>
      </c>
      <c r="G64" s="198" t="s">
        <v>318</v>
      </c>
      <c r="J64" s="198" t="s">
        <v>296</v>
      </c>
      <c r="K64" s="198">
        <v>88.905850000000001</v>
      </c>
      <c r="L64" s="198" t="s">
        <v>299</v>
      </c>
    </row>
    <row r="65" spans="1:13" x14ac:dyDescent="0.25">
      <c r="A65" s="198" t="s">
        <v>289</v>
      </c>
      <c r="B65" s="198">
        <f t="shared" si="2"/>
        <v>8.506117182196215E-4</v>
      </c>
      <c r="C65" s="198" t="s">
        <v>313</v>
      </c>
      <c r="D65" s="217">
        <f t="shared" si="3"/>
        <v>1.4341290361060178E-4</v>
      </c>
      <c r="E65" s="198" t="s">
        <v>317</v>
      </c>
      <c r="F65" s="198">
        <f t="shared" si="1"/>
        <v>0.13518376503215473</v>
      </c>
      <c r="G65" s="198" t="s">
        <v>318</v>
      </c>
      <c r="J65" s="198" t="s">
        <v>344</v>
      </c>
      <c r="K65" s="198">
        <v>32.064999999999998</v>
      </c>
      <c r="L65" s="198" t="s">
        <v>299</v>
      </c>
    </row>
    <row r="66" spans="1:13" x14ac:dyDescent="0.25">
      <c r="A66" s="198" t="s">
        <v>290</v>
      </c>
      <c r="B66" s="198">
        <f t="shared" si="2"/>
        <v>1.6729303251329364E-3</v>
      </c>
      <c r="C66" s="198" t="s">
        <v>313</v>
      </c>
      <c r="D66" s="217">
        <f t="shared" si="3"/>
        <v>2.8205559637446356E-4</v>
      </c>
      <c r="E66" s="198" t="s">
        <v>317</v>
      </c>
      <c r="F66" s="198">
        <f t="shared" si="1"/>
        <v>0.27185117783410218</v>
      </c>
      <c r="G66" s="198" t="s">
        <v>318</v>
      </c>
      <c r="J66" s="220" t="s">
        <v>406</v>
      </c>
      <c r="K66" s="198">
        <v>30.973762000000001</v>
      </c>
      <c r="L66" s="220" t="s">
        <v>299</v>
      </c>
    </row>
    <row r="67" spans="1:13" x14ac:dyDescent="0.25">
      <c r="A67" s="198" t="s">
        <v>291</v>
      </c>
      <c r="B67" s="198">
        <f t="shared" si="2"/>
        <v>2.6994207678190089E-4</v>
      </c>
      <c r="C67" s="198" t="s">
        <v>313</v>
      </c>
      <c r="D67" s="217">
        <f t="shared" si="3"/>
        <v>4.551216049432905E-5</v>
      </c>
      <c r="E67" s="198" t="s">
        <v>317</v>
      </c>
      <c r="F67" s="198">
        <f t="shared" si="1"/>
        <v>4.4521633105103479E-2</v>
      </c>
      <c r="G67" s="198" t="s">
        <v>318</v>
      </c>
      <c r="J67" s="220" t="s">
        <v>412</v>
      </c>
      <c r="K67" s="218">
        <f>K42+K40+3*K41</f>
        <v>79.007300000000001</v>
      </c>
      <c r="L67" s="220" t="s">
        <v>299</v>
      </c>
    </row>
    <row r="68" spans="1:13" x14ac:dyDescent="0.25">
      <c r="A68" s="198" t="s">
        <v>292</v>
      </c>
      <c r="B68" s="198">
        <f t="shared" si="2"/>
        <v>1.8299878541091854E-4</v>
      </c>
      <c r="C68" s="198" t="s">
        <v>313</v>
      </c>
      <c r="D68" s="217">
        <f t="shared" si="3"/>
        <v>3.0853545290822286E-5</v>
      </c>
      <c r="E68" s="198" t="s">
        <v>317</v>
      </c>
      <c r="F68" s="198">
        <f t="shared" si="1"/>
        <v>3.0608193849044823E-2</v>
      </c>
      <c r="G68" s="198" t="s">
        <v>318</v>
      </c>
      <c r="J68" s="220" t="s">
        <v>639</v>
      </c>
      <c r="K68" s="198">
        <f>K66+4*K41</f>
        <v>94.971361999999999</v>
      </c>
      <c r="L68" s="220" t="s">
        <v>299</v>
      </c>
    </row>
    <row r="69" spans="1:13" x14ac:dyDescent="0.25">
      <c r="A69" s="198" t="s">
        <v>293</v>
      </c>
      <c r="B69" s="198">
        <f t="shared" si="2"/>
        <v>4.6648243374873942E-5</v>
      </c>
      <c r="C69" s="198" t="s">
        <v>313</v>
      </c>
      <c r="D69" s="217">
        <f t="shared" si="3"/>
        <v>7.8648811054791897E-6</v>
      </c>
      <c r="E69" s="198" t="s">
        <v>317</v>
      </c>
      <c r="F69" s="198">
        <f t="shared" si="1"/>
        <v>7.8804841424220638E-3</v>
      </c>
      <c r="G69" s="198" t="s">
        <v>318</v>
      </c>
    </row>
    <row r="70" spans="1:13" x14ac:dyDescent="0.25">
      <c r="A70" s="198" t="s">
        <v>294</v>
      </c>
      <c r="B70" s="198">
        <f t="shared" si="2"/>
        <v>3.0450809001868159E-5</v>
      </c>
      <c r="C70" s="198" t="s">
        <v>313</v>
      </c>
      <c r="D70" s="217">
        <f t="shared" si="3"/>
        <v>5.1339980895046009E-6</v>
      </c>
      <c r="E70" s="198" t="s">
        <v>317</v>
      </c>
      <c r="F70" s="198">
        <f t="shared" si="1"/>
        <v>5.2692079896832665E-3</v>
      </c>
      <c r="G70" s="198" t="s">
        <v>318</v>
      </c>
    </row>
    <row r="71" spans="1:13" x14ac:dyDescent="0.25">
      <c r="A71" s="198" t="s">
        <v>295</v>
      </c>
      <c r="B71" s="198">
        <f t="shared" si="2"/>
        <v>5.0259818129822113E-6</v>
      </c>
      <c r="C71" s="198" t="s">
        <v>313</v>
      </c>
      <c r="D71" s="217">
        <f t="shared" si="3"/>
        <v>8.473791623780013E-7</v>
      </c>
      <c r="E71" s="198" t="s">
        <v>317</v>
      </c>
      <c r="F71" s="198">
        <f t="shared" si="1"/>
        <v>8.793809598720586E-4</v>
      </c>
      <c r="G71" s="198" t="s">
        <v>318</v>
      </c>
    </row>
    <row r="72" spans="1:13" x14ac:dyDescent="0.25">
      <c r="A72" s="198" t="s">
        <v>296</v>
      </c>
      <c r="B72" s="198">
        <f t="shared" si="2"/>
        <v>8.0864479369593626E-3</v>
      </c>
      <c r="C72" s="198" t="s">
        <v>313</v>
      </c>
      <c r="D72" s="217">
        <f t="shared" si="3"/>
        <v>1.3633729158618016E-3</v>
      </c>
      <c r="E72" s="198" t="s">
        <v>317</v>
      </c>
      <c r="F72" s="198">
        <f t="shared" si="1"/>
        <v>0.71893252731611856</v>
      </c>
      <c r="G72" s="198" t="s">
        <v>318</v>
      </c>
      <c r="I72" s="225" t="s">
        <v>456</v>
      </c>
      <c r="L72" s="220" t="s">
        <v>457</v>
      </c>
    </row>
    <row r="73" spans="1:13" x14ac:dyDescent="0.25">
      <c r="B73" s="198">
        <f>SUM(B58:B72)</f>
        <v>5.9312077003142152</v>
      </c>
      <c r="C73" s="198" t="s">
        <v>313</v>
      </c>
      <c r="D73" s="217">
        <f>SUM(D58:D72)</f>
        <v>1.0000000000000004</v>
      </c>
      <c r="F73" s="220">
        <f>SUM(F58:F72)</f>
        <v>832.08823075697205</v>
      </c>
      <c r="I73" s="218">
        <f>F73/B73</f>
        <v>140.28984867835447</v>
      </c>
      <c r="J73" s="220" t="s">
        <v>299</v>
      </c>
      <c r="L73" s="198">
        <f>I73+K67</f>
        <v>219.29714867835446</v>
      </c>
      <c r="M73" s="220" t="s">
        <v>299</v>
      </c>
    </row>
    <row r="74" spans="1:13" x14ac:dyDescent="0.25">
      <c r="B74" s="198" t="s">
        <v>300</v>
      </c>
      <c r="D74" s="198" t="s">
        <v>315</v>
      </c>
    </row>
    <row r="75" spans="1:13" x14ac:dyDescent="0.25">
      <c r="A75" s="198" t="s">
        <v>314</v>
      </c>
      <c r="B75" s="198">
        <f>K50+$K$42+$K$40+3*$K$41</f>
        <v>219.12330000000003</v>
      </c>
      <c r="C75" s="198" t="s">
        <v>299</v>
      </c>
      <c r="D75" s="217">
        <f>B58*B75/1000</f>
        <v>0.62510336298795921</v>
      </c>
      <c r="E75" s="198" t="s">
        <v>42</v>
      </c>
      <c r="F75" s="217"/>
    </row>
    <row r="76" spans="1:13" x14ac:dyDescent="0.25">
      <c r="A76" s="198" t="str">
        <f>A59&amp;"FCO3"</f>
        <v>LaFCO3</v>
      </c>
      <c r="B76" s="198">
        <f t="shared" ref="B76:B89" si="4">K51+$K$42+$K$40+3*$K$41</f>
        <v>217.91277000000002</v>
      </c>
      <c r="C76" s="198" t="s">
        <v>299</v>
      </c>
      <c r="D76" s="217">
        <f t="shared" ref="D76:D89" si="5">B59*B76/1000</f>
        <v>0.44410687582306629</v>
      </c>
      <c r="E76" s="198" t="s">
        <v>42</v>
      </c>
      <c r="F76" s="217"/>
    </row>
    <row r="77" spans="1:13" x14ac:dyDescent="0.25">
      <c r="A77" s="198" t="str">
        <f t="shared" ref="A77:A89" si="6">A60&amp;"FCO3"</f>
        <v>PrFCO3</v>
      </c>
      <c r="B77" s="198">
        <f t="shared" si="4"/>
        <v>219.91494999999998</v>
      </c>
      <c r="C77" s="198" t="s">
        <v>299</v>
      </c>
      <c r="D77" s="217">
        <f t="shared" si="5"/>
        <v>5.606388258215636E-2</v>
      </c>
      <c r="E77" s="198" t="s">
        <v>42</v>
      </c>
      <c r="F77" s="217"/>
    </row>
    <row r="78" spans="1:13" x14ac:dyDescent="0.25">
      <c r="A78" s="198" t="str">
        <f t="shared" si="6"/>
        <v>NdFCO3</v>
      </c>
      <c r="B78" s="198">
        <f t="shared" si="4"/>
        <v>223.24930000000001</v>
      </c>
      <c r="C78" s="198" t="s">
        <v>299</v>
      </c>
      <c r="D78" s="217">
        <f t="shared" si="5"/>
        <v>0.15923526415364619</v>
      </c>
      <c r="E78" s="198" t="s">
        <v>42</v>
      </c>
      <c r="F78" s="217"/>
    </row>
    <row r="79" spans="1:13" x14ac:dyDescent="0.25">
      <c r="A79" s="198" t="str">
        <f t="shared" si="6"/>
        <v>SmFCO3</v>
      </c>
      <c r="B79" s="198">
        <f t="shared" si="4"/>
        <v>229.3673</v>
      </c>
      <c r="C79" s="198" t="s">
        <v>299</v>
      </c>
      <c r="D79" s="217">
        <f t="shared" si="5"/>
        <v>1.0379200150723418E-2</v>
      </c>
      <c r="E79" s="198" t="s">
        <v>42</v>
      </c>
      <c r="F79" s="217"/>
    </row>
    <row r="80" spans="1:13" x14ac:dyDescent="0.25">
      <c r="A80" s="198" t="str">
        <f t="shared" si="6"/>
        <v>EuFCO3</v>
      </c>
      <c r="B80" s="198">
        <f t="shared" si="4"/>
        <v>230.97129999999999</v>
      </c>
      <c r="C80" s="198" t="s">
        <v>299</v>
      </c>
      <c r="D80" s="217">
        <f t="shared" si="5"/>
        <v>1.5488823168039209E-3</v>
      </c>
      <c r="E80" s="198" t="s">
        <v>42</v>
      </c>
      <c r="F80" s="217"/>
    </row>
    <row r="81" spans="1:7" x14ac:dyDescent="0.25">
      <c r="A81" s="198" t="str">
        <f t="shared" si="6"/>
        <v>GdFCO3</v>
      </c>
      <c r="B81" s="198">
        <f t="shared" si="4"/>
        <v>236.25729999999999</v>
      </c>
      <c r="C81" s="198" t="s">
        <v>299</v>
      </c>
      <c r="D81" s="217">
        <f t="shared" si="5"/>
        <v>2.1638017402569169E-3</v>
      </c>
      <c r="E81" s="198" t="s">
        <v>42</v>
      </c>
      <c r="F81" s="217"/>
    </row>
    <row r="82" spans="1:7" x14ac:dyDescent="0.25">
      <c r="A82" s="198" t="str">
        <f t="shared" si="6"/>
        <v>TbFCO3</v>
      </c>
      <c r="B82" s="198">
        <f t="shared" si="4"/>
        <v>237.93265000000002</v>
      </c>
      <c r="C82" s="198" t="s">
        <v>299</v>
      </c>
      <c r="D82" s="217">
        <f t="shared" si="5"/>
        <v>2.0238830023704786E-4</v>
      </c>
      <c r="E82" s="198" t="s">
        <v>42</v>
      </c>
      <c r="F82" s="217"/>
    </row>
    <row r="83" spans="1:7" x14ac:dyDescent="0.25">
      <c r="A83" s="198" t="str">
        <f t="shared" si="6"/>
        <v>DyFCO3</v>
      </c>
      <c r="B83" s="198">
        <f t="shared" si="4"/>
        <v>241.50729999999999</v>
      </c>
      <c r="C83" s="198" t="s">
        <v>299</v>
      </c>
      <c r="D83" s="217">
        <f t="shared" si="5"/>
        <v>4.0402488591097756E-4</v>
      </c>
      <c r="E83" s="198" t="s">
        <v>42</v>
      </c>
      <c r="F83" s="217"/>
    </row>
    <row r="84" spans="1:7" x14ac:dyDescent="0.25">
      <c r="A84" s="198" t="str">
        <f t="shared" si="6"/>
        <v>HoFCO3</v>
      </c>
      <c r="B84" s="198">
        <f t="shared" si="4"/>
        <v>243.93761999999998</v>
      </c>
      <c r="C84" s="198" t="s">
        <v>299</v>
      </c>
      <c r="D84" s="217">
        <f t="shared" si="5"/>
        <v>6.5849027748034148E-5</v>
      </c>
      <c r="E84" s="198" t="s">
        <v>42</v>
      </c>
      <c r="F84" s="217"/>
    </row>
    <row r="85" spans="1:7" x14ac:dyDescent="0.25">
      <c r="A85" s="198" t="str">
        <f t="shared" si="6"/>
        <v>ErFCO3</v>
      </c>
      <c r="B85" s="198">
        <f t="shared" si="4"/>
        <v>246.2663</v>
      </c>
      <c r="C85" s="198" t="s">
        <v>299</v>
      </c>
      <c r="D85" s="217">
        <f t="shared" si="5"/>
        <v>4.5066433787640884E-5</v>
      </c>
      <c r="E85" s="198" t="s">
        <v>42</v>
      </c>
      <c r="F85" s="217"/>
    </row>
    <row r="86" spans="1:7" x14ac:dyDescent="0.25">
      <c r="A86" s="198" t="str">
        <f t="shared" si="6"/>
        <v>TmFCO3</v>
      </c>
      <c r="B86" s="198">
        <f t="shared" si="4"/>
        <v>247.94150999999999</v>
      </c>
      <c r="C86" s="198" t="s">
        <v>299</v>
      </c>
      <c r="D86" s="217">
        <f t="shared" si="5"/>
        <v>1.1566035901213742E-5</v>
      </c>
      <c r="E86" s="198" t="s">
        <v>42</v>
      </c>
      <c r="F86" s="217"/>
    </row>
    <row r="87" spans="1:7" x14ac:dyDescent="0.25">
      <c r="A87" s="198" t="str">
        <f t="shared" si="6"/>
        <v>YbFCO3</v>
      </c>
      <c r="B87" s="198">
        <f t="shared" si="4"/>
        <v>252.04730000000001</v>
      </c>
      <c r="C87" s="198" t="s">
        <v>299</v>
      </c>
      <c r="D87" s="217">
        <f t="shared" si="5"/>
        <v>7.6750441917365656E-6</v>
      </c>
      <c r="E87" s="198" t="s">
        <v>42</v>
      </c>
      <c r="F87" s="217"/>
    </row>
    <row r="88" spans="1:7" x14ac:dyDescent="0.25">
      <c r="A88" s="198" t="str">
        <f t="shared" si="6"/>
        <v>LuFCO3</v>
      </c>
      <c r="B88" s="198">
        <f t="shared" si="4"/>
        <v>253.97430000000003</v>
      </c>
      <c r="C88" s="198" t="s">
        <v>299</v>
      </c>
      <c r="D88" s="217">
        <f t="shared" si="5"/>
        <v>1.2764702127648882E-6</v>
      </c>
      <c r="E88" s="198" t="s">
        <v>42</v>
      </c>
      <c r="F88" s="217"/>
    </row>
    <row r="89" spans="1:7" x14ac:dyDescent="0.25">
      <c r="A89" s="198" t="str">
        <f t="shared" si="6"/>
        <v>YFCO3</v>
      </c>
      <c r="B89" s="198">
        <f t="shared" si="4"/>
        <v>167.91315</v>
      </c>
      <c r="C89" s="198" t="s">
        <v>299</v>
      </c>
      <c r="D89" s="217">
        <f t="shared" si="5"/>
        <v>1.357820945405848E-3</v>
      </c>
      <c r="E89" s="198" t="s">
        <v>42</v>
      </c>
      <c r="F89" s="217"/>
    </row>
    <row r="90" spans="1:7" x14ac:dyDescent="0.25">
      <c r="D90" s="217">
        <f>SUM(D75:D89)</f>
        <v>1.3006969368980081</v>
      </c>
      <c r="E90" s="198" t="s">
        <v>42</v>
      </c>
    </row>
    <row r="91" spans="1:7" x14ac:dyDescent="0.25">
      <c r="B91" s="198" t="s">
        <v>322</v>
      </c>
    </row>
    <row r="92" spans="1:7" x14ac:dyDescent="0.25">
      <c r="A92" s="198" t="s">
        <v>314</v>
      </c>
      <c r="B92" s="198">
        <f t="shared" ref="B92:B106" si="7">D58*B75</f>
        <v>105.39225644632937</v>
      </c>
      <c r="C92" s="198" t="s">
        <v>299</v>
      </c>
    </row>
    <row r="93" spans="1:7" x14ac:dyDescent="0.25">
      <c r="A93" s="198" t="s">
        <v>323</v>
      </c>
      <c r="B93" s="198">
        <f t="shared" si="7"/>
        <v>74.876298093479164</v>
      </c>
      <c r="C93" s="198" t="s">
        <v>299</v>
      </c>
    </row>
    <row r="94" spans="1:7" x14ac:dyDescent="0.25">
      <c r="A94" s="198" t="s">
        <v>324</v>
      </c>
      <c r="B94" s="198">
        <f t="shared" si="7"/>
        <v>9.4523553068604027</v>
      </c>
      <c r="C94" s="198" t="s">
        <v>299</v>
      </c>
      <c r="D94" s="198">
        <v>1</v>
      </c>
      <c r="E94" s="198" t="s">
        <v>320</v>
      </c>
      <c r="F94" s="218">
        <f>D94*1000/B107</f>
        <v>4.5600228093558615</v>
      </c>
      <c r="G94" s="198" t="s">
        <v>321</v>
      </c>
    </row>
    <row r="95" spans="1:7" x14ac:dyDescent="0.25">
      <c r="A95" s="198" t="s">
        <v>325</v>
      </c>
      <c r="B95" s="198">
        <f t="shared" si="7"/>
        <v>26.847022090494395</v>
      </c>
      <c r="C95" s="198" t="s">
        <v>299</v>
      </c>
    </row>
    <row r="96" spans="1:7" x14ac:dyDescent="0.25">
      <c r="A96" s="198" t="s">
        <v>326</v>
      </c>
      <c r="B96" s="198">
        <f t="shared" si="7"/>
        <v>1.749930313547031</v>
      </c>
      <c r="C96" s="198" t="s">
        <v>299</v>
      </c>
    </row>
    <row r="97" spans="1:5" x14ac:dyDescent="0.25">
      <c r="A97" s="198" t="s">
        <v>327</v>
      </c>
      <c r="B97" s="198">
        <f t="shared" si="7"/>
        <v>0.26114113601549754</v>
      </c>
      <c r="C97" s="198" t="s">
        <v>299</v>
      </c>
    </row>
    <row r="98" spans="1:5" x14ac:dyDescent="0.25">
      <c r="A98" s="198" t="s">
        <v>328</v>
      </c>
      <c r="B98" s="198">
        <f t="shared" si="7"/>
        <v>0.36481638303482211</v>
      </c>
      <c r="C98" s="198" t="s">
        <v>299</v>
      </c>
    </row>
    <row r="99" spans="1:5" x14ac:dyDescent="0.25">
      <c r="A99" s="198" t="s">
        <v>329</v>
      </c>
      <c r="B99" s="198">
        <f t="shared" si="7"/>
        <v>3.4122612200265051E-2</v>
      </c>
      <c r="C99" s="198" t="s">
        <v>299</v>
      </c>
    </row>
    <row r="100" spans="1:5" x14ac:dyDescent="0.25">
      <c r="A100" s="198" t="s">
        <v>330</v>
      </c>
      <c r="B100" s="198">
        <f t="shared" si="7"/>
        <v>6.8118485530286474E-2</v>
      </c>
      <c r="C100" s="198" t="s">
        <v>299</v>
      </c>
    </row>
    <row r="101" spans="1:5" x14ac:dyDescent="0.25">
      <c r="A101" s="198" t="s">
        <v>331</v>
      </c>
      <c r="B101" s="198">
        <f t="shared" si="7"/>
        <v>1.1102128112044651E-2</v>
      </c>
      <c r="C101" s="198" t="s">
        <v>299</v>
      </c>
    </row>
    <row r="102" spans="1:5" x14ac:dyDescent="0.25">
      <c r="A102" s="198" t="s">
        <v>332</v>
      </c>
      <c r="B102" s="198">
        <f t="shared" si="7"/>
        <v>7.598188440653228E-3</v>
      </c>
      <c r="C102" s="198" t="s">
        <v>299</v>
      </c>
    </row>
    <row r="103" spans="1:5" x14ac:dyDescent="0.25">
      <c r="A103" s="198" t="s">
        <v>333</v>
      </c>
      <c r="B103" s="198">
        <f t="shared" si="7"/>
        <v>1.9500304972629794E-3</v>
      </c>
      <c r="C103" s="198" t="s">
        <v>299</v>
      </c>
    </row>
    <row r="104" spans="1:5" x14ac:dyDescent="0.25">
      <c r="A104" s="198" t="s">
        <v>334</v>
      </c>
      <c r="B104" s="198">
        <f t="shared" si="7"/>
        <v>1.2940103566647929E-3</v>
      </c>
      <c r="C104" s="198" t="s">
        <v>299</v>
      </c>
    </row>
    <row r="105" spans="1:5" x14ac:dyDescent="0.25">
      <c r="A105" s="198" t="s">
        <v>335</v>
      </c>
      <c r="B105" s="198">
        <f t="shared" si="7"/>
        <v>2.1521252959953924E-4</v>
      </c>
      <c r="C105" s="198" t="s">
        <v>299</v>
      </c>
    </row>
    <row r="106" spans="1:5" x14ac:dyDescent="0.25">
      <c r="A106" s="198" t="s">
        <v>336</v>
      </c>
      <c r="B106" s="198">
        <f t="shared" si="7"/>
        <v>0.22892824092704009</v>
      </c>
      <c r="C106" s="198" t="s">
        <v>299</v>
      </c>
    </row>
    <row r="107" spans="1:5" x14ac:dyDescent="0.25">
      <c r="A107" s="219" t="s">
        <v>337</v>
      </c>
      <c r="B107" s="198">
        <f>SUM(B92:B106)</f>
        <v>219.29714867835449</v>
      </c>
      <c r="C107" s="198" t="s">
        <v>299</v>
      </c>
    </row>
    <row r="110" spans="1:5" x14ac:dyDescent="0.25">
      <c r="A110" s="198" t="s">
        <v>343</v>
      </c>
      <c r="B110" s="231">
        <f>2*K44+4*K41+K65</f>
        <v>98.078479999999999</v>
      </c>
      <c r="C110" s="220" t="s">
        <v>299</v>
      </c>
      <c r="D110" s="221">
        <f t="shared" ref="D110:D121" si="8">B110/1000</f>
        <v>9.8078479999999996E-2</v>
      </c>
      <c r="E110" s="220" t="s">
        <v>352</v>
      </c>
    </row>
    <row r="111" spans="1:5" x14ac:dyDescent="0.25">
      <c r="A111" s="220" t="s">
        <v>345</v>
      </c>
      <c r="B111" s="231">
        <f>K43+K41+K44</f>
        <v>39.997108999999995</v>
      </c>
      <c r="C111" s="220" t="s">
        <v>299</v>
      </c>
      <c r="D111" s="221">
        <f t="shared" si="8"/>
        <v>3.9997108999999996E-2</v>
      </c>
      <c r="E111" s="220" t="s">
        <v>352</v>
      </c>
    </row>
    <row r="112" spans="1:5" x14ac:dyDescent="0.25">
      <c r="A112" s="220" t="s">
        <v>402</v>
      </c>
      <c r="B112" s="218">
        <f>K40+2*K41</f>
        <v>44.009500000000003</v>
      </c>
      <c r="C112" s="220" t="s">
        <v>299</v>
      </c>
      <c r="D112" s="221">
        <f t="shared" si="8"/>
        <v>4.40095E-2</v>
      </c>
      <c r="E112" s="220" t="s">
        <v>352</v>
      </c>
    </row>
    <row r="113" spans="1:28" x14ac:dyDescent="0.25">
      <c r="A113" s="220" t="s">
        <v>309</v>
      </c>
      <c r="B113" s="218">
        <f>3*K42</f>
        <v>56.995199999999997</v>
      </c>
      <c r="C113" s="220" t="s">
        <v>299</v>
      </c>
      <c r="D113" s="221">
        <f t="shared" si="8"/>
        <v>5.6995199999999996E-2</v>
      </c>
      <c r="E113" s="220" t="s">
        <v>352</v>
      </c>
    </row>
    <row r="114" spans="1:28" x14ac:dyDescent="0.25">
      <c r="A114" s="198" t="s">
        <v>342</v>
      </c>
      <c r="B114" s="231">
        <f>K44+K45</f>
        <v>36.460940000000001</v>
      </c>
      <c r="C114" s="220" t="s">
        <v>299</v>
      </c>
      <c r="D114" s="221">
        <f t="shared" si="8"/>
        <v>3.6460940000000004E-2</v>
      </c>
      <c r="E114" s="220" t="s">
        <v>352</v>
      </c>
    </row>
    <row r="115" spans="1:28" x14ac:dyDescent="0.25">
      <c r="A115" s="220" t="s">
        <v>403</v>
      </c>
      <c r="B115" s="198">
        <f>2*K44+K41</f>
        <v>18.015280000000001</v>
      </c>
      <c r="C115" s="220" t="s">
        <v>299</v>
      </c>
      <c r="D115" s="221">
        <f t="shared" si="8"/>
        <v>1.8015280000000002E-2</v>
      </c>
      <c r="E115" s="220" t="s">
        <v>352</v>
      </c>
    </row>
    <row r="116" spans="1:28" x14ac:dyDescent="0.25">
      <c r="A116" s="220" t="s">
        <v>404</v>
      </c>
      <c r="B116" s="198">
        <f>3*K44+1*K66+4*K41</f>
        <v>97.995182</v>
      </c>
      <c r="C116" s="220" t="s">
        <v>299</v>
      </c>
      <c r="D116" s="221">
        <f t="shared" si="8"/>
        <v>9.7995182E-2</v>
      </c>
      <c r="E116" s="220" t="s">
        <v>352</v>
      </c>
    </row>
    <row r="117" spans="1:28" x14ac:dyDescent="0.25">
      <c r="A117" s="220" t="s">
        <v>405</v>
      </c>
      <c r="B117" s="198">
        <f>3*K43+K66+4*K41</f>
        <v>163.94066900000001</v>
      </c>
      <c r="C117" s="220" t="s">
        <v>299</v>
      </c>
      <c r="D117" s="221">
        <f t="shared" si="8"/>
        <v>0.16394066900000001</v>
      </c>
      <c r="E117" s="220" t="s">
        <v>352</v>
      </c>
    </row>
    <row r="118" spans="1:28" x14ac:dyDescent="0.25">
      <c r="A118" s="220" t="s">
        <v>401</v>
      </c>
      <c r="B118" s="198">
        <f>K44+K42</f>
        <v>20.006340000000002</v>
      </c>
      <c r="C118" s="220" t="s">
        <v>299</v>
      </c>
      <c r="D118" s="221">
        <f t="shared" si="8"/>
        <v>2.0006340000000001E-2</v>
      </c>
      <c r="E118" s="220" t="s">
        <v>352</v>
      </c>
    </row>
    <row r="119" spans="1:28" x14ac:dyDescent="0.25">
      <c r="A119" s="220" t="s">
        <v>474</v>
      </c>
      <c r="B119" s="198">
        <f>K43+K45</f>
        <v>58.442768999999998</v>
      </c>
      <c r="C119" s="220" t="s">
        <v>299</v>
      </c>
      <c r="D119" s="221">
        <f t="shared" si="8"/>
        <v>5.8442768999999999E-2</v>
      </c>
      <c r="E119" s="220" t="s">
        <v>352</v>
      </c>
    </row>
    <row r="120" spans="1:28" x14ac:dyDescent="0.25">
      <c r="A120" s="220" t="s">
        <v>540</v>
      </c>
      <c r="B120" s="198">
        <f>2*K43+K65+4*K41</f>
        <v>142.04213799999999</v>
      </c>
      <c r="C120" s="220" t="s">
        <v>299</v>
      </c>
      <c r="D120" s="221">
        <f t="shared" si="8"/>
        <v>0.14204213799999998</v>
      </c>
      <c r="E120" s="220" t="s">
        <v>352</v>
      </c>
    </row>
    <row r="121" spans="1:28" x14ac:dyDescent="0.25">
      <c r="A121" s="220" t="s">
        <v>556</v>
      </c>
      <c r="B121" s="220">
        <f>K43+K42</f>
        <v>41.988168999999999</v>
      </c>
      <c r="C121" s="220" t="s">
        <v>299</v>
      </c>
      <c r="D121" s="221">
        <f t="shared" si="8"/>
        <v>4.1988168999999999E-2</v>
      </c>
      <c r="E121" s="220" t="s">
        <v>352</v>
      </c>
    </row>
    <row r="122" spans="1:28" x14ac:dyDescent="0.25">
      <c r="A122" s="220"/>
      <c r="B122" s="181"/>
      <c r="C122" s="181"/>
      <c r="D122" s="181"/>
      <c r="E122" s="181"/>
      <c r="F122" s="181"/>
      <c r="G122" s="181"/>
      <c r="H122" s="181"/>
      <c r="I122" s="226"/>
      <c r="J122"/>
      <c r="K122"/>
      <c r="L122"/>
      <c r="M122"/>
      <c r="N122"/>
      <c r="O122"/>
      <c r="P122"/>
      <c r="Q122"/>
      <c r="R122"/>
      <c r="S122"/>
      <c r="T122"/>
      <c r="U122"/>
      <c r="V122"/>
      <c r="W122"/>
      <c r="X122"/>
      <c r="Y122"/>
      <c r="Z122"/>
      <c r="AA122"/>
      <c r="AB122"/>
    </row>
    <row r="123" spans="1:28" x14ac:dyDescent="0.25">
      <c r="A123" s="181"/>
      <c r="B123" s="220"/>
      <c r="D123" s="181"/>
      <c r="E123"/>
      <c r="F123"/>
      <c r="G123"/>
      <c r="H123"/>
      <c r="I123" s="226"/>
      <c r="J123"/>
      <c r="K123"/>
      <c r="L123"/>
      <c r="M123"/>
      <c r="N123"/>
      <c r="O123"/>
      <c r="P123"/>
      <c r="Q123"/>
      <c r="R123"/>
      <c r="S123"/>
      <c r="T123"/>
      <c r="U123"/>
      <c r="V123"/>
      <c r="W123"/>
      <c r="X123"/>
      <c r="Y123"/>
      <c r="Z123"/>
      <c r="AA123"/>
      <c r="AB123"/>
    </row>
    <row r="124" spans="1:28" x14ac:dyDescent="0.25">
      <c r="A124" s="220"/>
      <c r="C124" s="220"/>
      <c r="D124" s="181"/>
      <c r="E124"/>
      <c r="F124"/>
      <c r="G124"/>
      <c r="H124"/>
      <c r="I124" s="226"/>
      <c r="J124"/>
      <c r="K124"/>
      <c r="L124"/>
      <c r="M124"/>
      <c r="N124"/>
      <c r="O124"/>
      <c r="P124"/>
      <c r="Q124"/>
      <c r="R124"/>
      <c r="S124"/>
      <c r="T124"/>
      <c r="U124"/>
      <c r="V124"/>
      <c r="W124"/>
      <c r="X124"/>
      <c r="Y124"/>
      <c r="Z124"/>
      <c r="AA124"/>
      <c r="AB124"/>
    </row>
    <row r="125" spans="1:28" x14ac:dyDescent="0.25">
      <c r="A125" s="220"/>
      <c r="C125" s="220"/>
      <c r="D125" s="181"/>
      <c r="E125"/>
      <c r="F125"/>
      <c r="G125"/>
      <c r="H125"/>
      <c r="I125" s="226"/>
      <c r="J125"/>
      <c r="K125"/>
      <c r="L125"/>
      <c r="M125"/>
      <c r="N125"/>
      <c r="O125"/>
      <c r="P125"/>
      <c r="Q125"/>
      <c r="R125"/>
      <c r="S125"/>
      <c r="T125"/>
      <c r="U125"/>
      <c r="V125"/>
      <c r="W125"/>
      <c r="X125"/>
      <c r="Y125"/>
      <c r="Z125"/>
      <c r="AA125"/>
      <c r="AB125"/>
    </row>
    <row r="126" spans="1:28" x14ac:dyDescent="0.25">
      <c r="A126" s="220"/>
      <c r="D126" s="181"/>
      <c r="E126"/>
      <c r="F126"/>
      <c r="G126"/>
      <c r="H126"/>
      <c r="I126" s="226"/>
      <c r="J126"/>
      <c r="K126"/>
      <c r="L126"/>
      <c r="M126"/>
      <c r="N126"/>
      <c r="O126"/>
      <c r="P126"/>
      <c r="Q126"/>
      <c r="R126"/>
      <c r="S126"/>
      <c r="T126"/>
      <c r="U126"/>
      <c r="V126"/>
      <c r="W126"/>
      <c r="X126"/>
      <c r="Y126"/>
      <c r="Z126"/>
      <c r="AA126"/>
      <c r="AB126"/>
    </row>
    <row r="127" spans="1:28" x14ac:dyDescent="0.25">
      <c r="A127" s="220"/>
      <c r="B127" s="220"/>
      <c r="D127" s="181"/>
      <c r="E127"/>
      <c r="F127"/>
      <c r="G127"/>
      <c r="H127"/>
      <c r="I127" s="226"/>
      <c r="J127"/>
      <c r="K127"/>
      <c r="L127"/>
      <c r="M127"/>
      <c r="N127"/>
      <c r="O127"/>
      <c r="P127"/>
      <c r="Q127"/>
      <c r="R127"/>
      <c r="S127"/>
      <c r="T127"/>
      <c r="U127"/>
      <c r="V127"/>
      <c r="W127"/>
      <c r="X127"/>
      <c r="Y127"/>
      <c r="Z127"/>
      <c r="AA127"/>
      <c r="AB127"/>
    </row>
    <row r="128" spans="1:28" x14ac:dyDescent="0.25">
      <c r="D128" s="181"/>
      <c r="E128"/>
      <c r="F128"/>
      <c r="G128"/>
      <c r="H128"/>
      <c r="I128" s="226"/>
      <c r="J128"/>
      <c r="K128"/>
      <c r="L128"/>
      <c r="M128"/>
      <c r="N128"/>
      <c r="O128"/>
      <c r="P128"/>
      <c r="Q128"/>
      <c r="R128"/>
      <c r="S128"/>
      <c r="T128"/>
      <c r="U128"/>
      <c r="V128"/>
      <c r="W128"/>
      <c r="X128"/>
      <c r="Y128"/>
      <c r="Z128"/>
      <c r="AA128"/>
      <c r="AB128"/>
    </row>
    <row r="129" spans="1:28" x14ac:dyDescent="0.25">
      <c r="D129" s="181"/>
      <c r="E129"/>
      <c r="F129" s="227"/>
      <c r="G129"/>
      <c r="H129"/>
      <c r="I129" s="226"/>
      <c r="J129"/>
      <c r="K129"/>
      <c r="L129"/>
      <c r="M129"/>
      <c r="N129"/>
      <c r="O129"/>
      <c r="P129"/>
      <c r="Q129"/>
      <c r="R129"/>
      <c r="S129"/>
      <c r="T129"/>
      <c r="U129"/>
      <c r="V129"/>
      <c r="W129"/>
      <c r="X129"/>
      <c r="Y129"/>
      <c r="Z129"/>
      <c r="AA129"/>
      <c r="AB129"/>
    </row>
    <row r="131" spans="1:28" x14ac:dyDescent="0.25">
      <c r="A131" s="220"/>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heetViews>
  <sheetFormatPr defaultRowHeight="12.75" x14ac:dyDescent="0.2"/>
  <cols>
    <col min="1" max="3" width="9.140625" style="181"/>
    <col min="4" max="4" width="13.42578125" style="181" bestFit="1" customWidth="1"/>
    <col min="5" max="5" width="16.42578125" style="181" bestFit="1" customWidth="1"/>
    <col min="6" max="6" width="23.42578125" style="181" customWidth="1"/>
    <col min="7" max="7" width="11" style="181" bestFit="1" customWidth="1"/>
    <col min="8" max="16384" width="9.140625" style="181"/>
  </cols>
  <sheetData>
    <row r="1" spans="1:38" ht="20.25" x14ac:dyDescent="0.3">
      <c r="A1" s="182"/>
      <c r="B1" s="183"/>
      <c r="C1" s="182"/>
      <c r="D1" s="183"/>
      <c r="E1" s="182"/>
      <c r="F1" s="182"/>
      <c r="G1" s="182"/>
      <c r="H1" s="78" t="s">
        <v>20</v>
      </c>
      <c r="I1" s="184"/>
      <c r="J1" s="184"/>
      <c r="K1" s="184"/>
      <c r="L1" s="184"/>
      <c r="M1" s="184"/>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row>
    <row r="2" spans="1:38" x14ac:dyDescent="0.2">
      <c r="A2" s="184"/>
      <c r="B2" s="323"/>
      <c r="C2" s="323"/>
      <c r="D2" s="323"/>
      <c r="E2" s="323"/>
      <c r="F2" s="185"/>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row>
    <row r="3" spans="1:38" x14ac:dyDescent="0.2">
      <c r="A3" s="184"/>
      <c r="B3" s="324" t="s">
        <v>223</v>
      </c>
      <c r="C3" s="324"/>
      <c r="D3" s="324"/>
      <c r="E3" s="324"/>
      <c r="F3" s="186" t="s">
        <v>65</v>
      </c>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row>
    <row r="4" spans="1:38" x14ac:dyDescent="0.2">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row>
    <row r="5" spans="1:38" ht="15" x14ac:dyDescent="0.25">
      <c r="A5" s="184"/>
      <c r="B5" s="187">
        <v>1</v>
      </c>
      <c r="C5" s="181" t="s">
        <v>253</v>
      </c>
      <c r="D5" s="181">
        <f>B5*CONVERT(1,"BTU","J")/CONVERT(1,"ft","m")/CONVERT(1,"F","K")</f>
        <v>13.525180278587728</v>
      </c>
      <c r="E5" s="220" t="s">
        <v>266</v>
      </c>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1:38" x14ac:dyDescent="0.2">
      <c r="A6" s="184"/>
      <c r="B6" s="188">
        <v>1</v>
      </c>
      <c r="C6" s="181" t="s">
        <v>255</v>
      </c>
      <c r="D6" s="181">
        <f>B6*CONVERT(1,"in","m")</f>
        <v>2.5399999999999999E-2</v>
      </c>
      <c r="E6" s="181" t="s">
        <v>256</v>
      </c>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row>
    <row r="7" spans="1:38" x14ac:dyDescent="0.2">
      <c r="A7" s="184"/>
      <c r="B7" s="187"/>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row>
    <row r="8" spans="1:38" x14ac:dyDescent="0.2">
      <c r="A8" s="184"/>
      <c r="B8" s="188"/>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row>
    <row r="9" spans="1:38" x14ac:dyDescent="0.2">
      <c r="A9" s="184"/>
      <c r="B9" s="187"/>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row>
    <row r="10" spans="1:38" x14ac:dyDescent="0.2">
      <c r="A10" s="184"/>
      <c r="B10" s="189"/>
      <c r="C10" s="184"/>
      <c r="D10" s="184"/>
      <c r="E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row>
    <row r="11" spans="1:38" x14ac:dyDescent="0.2">
      <c r="A11" s="184"/>
      <c r="B11" s="190"/>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row>
    <row r="12" spans="1:38" x14ac:dyDescent="0.2">
      <c r="A12" s="184"/>
      <c r="B12" s="191"/>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row>
    <row r="13" spans="1:38" x14ac:dyDescent="0.2">
      <c r="A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row>
    <row r="14" spans="1:38" x14ac:dyDescent="0.2">
      <c r="A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row>
    <row r="15" spans="1:38" x14ac:dyDescent="0.2">
      <c r="A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row>
    <row r="16" spans="1:38" x14ac:dyDescent="0.2">
      <c r="A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row>
    <row r="17" spans="1:38" x14ac:dyDescent="0.2">
      <c r="A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row>
    <row r="18" spans="1:38" x14ac:dyDescent="0.2">
      <c r="A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row>
    <row r="19" spans="1:38" x14ac:dyDescent="0.2">
      <c r="A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row>
    <row r="20" spans="1:38" x14ac:dyDescent="0.2">
      <c r="A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row>
    <row r="21" spans="1:38" x14ac:dyDescent="0.2">
      <c r="A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row>
    <row r="22" spans="1:38" x14ac:dyDescent="0.2">
      <c r="A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row>
    <row r="23" spans="1:38" x14ac:dyDescent="0.2">
      <c r="A23" s="184"/>
      <c r="B23" s="184"/>
      <c r="C23" s="184"/>
      <c r="D23" s="184"/>
      <c r="E23" s="184"/>
      <c r="F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row>
    <row r="24" spans="1:38" x14ac:dyDescent="0.2">
      <c r="A24" s="184"/>
      <c r="B24" s="184"/>
      <c r="C24" s="184"/>
      <c r="D24" s="184"/>
      <c r="E24" s="184"/>
      <c r="F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row>
    <row r="25" spans="1:38" x14ac:dyDescent="0.2">
      <c r="A25" s="184"/>
      <c r="B25" s="161"/>
      <c r="C25" s="192"/>
      <c r="D25" s="161"/>
      <c r="E25" s="161"/>
      <c r="F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row>
    <row r="26" spans="1:38" x14ac:dyDescent="0.2">
      <c r="A26" s="184"/>
      <c r="B26" s="193"/>
      <c r="C26" s="194"/>
      <c r="D26" s="161"/>
      <c r="E26" s="161"/>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row>
    <row r="27" spans="1:38" x14ac:dyDescent="0.2">
      <c r="A27" s="184"/>
      <c r="B27" s="193"/>
      <c r="C27" s="194"/>
      <c r="D27" s="161"/>
      <c r="E27" s="161"/>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row>
    <row r="28" spans="1:38" x14ac:dyDescent="0.2">
      <c r="A28" s="184"/>
      <c r="B28" s="193"/>
      <c r="C28" s="194"/>
      <c r="D28" s="161"/>
      <c r="E28" s="161"/>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row>
    <row r="29" spans="1:38" x14ac:dyDescent="0.2">
      <c r="B29" s="193"/>
      <c r="C29" s="184"/>
      <c r="D29" s="184"/>
      <c r="E29" s="184"/>
    </row>
    <row r="30" spans="1:38" x14ac:dyDescent="0.2">
      <c r="B30" s="193"/>
      <c r="C30" s="184"/>
      <c r="D30" s="184"/>
      <c r="E30" s="184"/>
    </row>
    <row r="31" spans="1:38" x14ac:dyDescent="0.2">
      <c r="B31" s="190"/>
      <c r="C31" s="184"/>
      <c r="D31" s="184"/>
      <c r="E31" s="184"/>
    </row>
    <row r="37" spans="10:10" x14ac:dyDescent="0.2">
      <c r="J37" s="195"/>
    </row>
  </sheetData>
  <mergeCells count="2">
    <mergeCell ref="B2:E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heetViews>
  <sheetFormatPr defaultRowHeight="12.75" x14ac:dyDescent="0.2"/>
  <cols>
    <col min="1" max="2" width="9.140625" style="3"/>
    <col min="3" max="3" width="13.140625" style="3" bestFit="1" customWidth="1"/>
    <col min="4" max="16384" width="9.140625" style="3"/>
  </cols>
  <sheetData>
    <row r="1" spans="1:38" ht="20.25" x14ac:dyDescent="0.3">
      <c r="A1" s="11"/>
      <c r="B1" s="11"/>
      <c r="C1" s="11"/>
      <c r="D1" s="11"/>
      <c r="E1" s="11"/>
      <c r="F1" s="11"/>
      <c r="G1" s="11"/>
      <c r="H1" s="78"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85" t="s">
        <v>224</v>
      </c>
      <c r="D3" s="185" t="s">
        <v>9</v>
      </c>
    </row>
    <row r="4" spans="1:38" ht="15" x14ac:dyDescent="0.2">
      <c r="C4" s="196"/>
      <c r="D4" s="325"/>
      <c r="E4" s="326"/>
      <c r="F4" s="326"/>
      <c r="G4" s="326"/>
      <c r="H4" s="326"/>
      <c r="I4" s="326"/>
      <c r="J4" s="326"/>
      <c r="K4" s="326"/>
      <c r="L4" s="326"/>
    </row>
    <row r="5" spans="1:38" ht="15" x14ac:dyDescent="0.2">
      <c r="C5" s="196"/>
      <c r="D5" s="325"/>
      <c r="E5" s="326"/>
      <c r="F5" s="326"/>
      <c r="G5" s="326"/>
      <c r="H5" s="326"/>
      <c r="I5" s="326"/>
      <c r="J5" s="326"/>
      <c r="K5" s="326"/>
      <c r="L5" s="326"/>
    </row>
    <row r="6" spans="1:38" ht="15" x14ac:dyDescent="0.2">
      <c r="C6" s="196"/>
      <c r="D6" s="325"/>
      <c r="E6" s="326"/>
      <c r="F6" s="326"/>
      <c r="G6" s="326"/>
      <c r="H6" s="326"/>
      <c r="I6" s="326"/>
      <c r="J6" s="326"/>
      <c r="K6" s="326"/>
      <c r="L6" s="326"/>
    </row>
    <row r="7" spans="1:38" ht="15" x14ac:dyDescent="0.2">
      <c r="C7" s="196"/>
      <c r="D7" s="325"/>
      <c r="E7" s="326"/>
      <c r="F7" s="326"/>
      <c r="G7" s="326"/>
      <c r="H7" s="326"/>
      <c r="I7" s="326"/>
      <c r="J7" s="326"/>
      <c r="K7" s="326"/>
      <c r="L7" s="326"/>
    </row>
    <row r="8" spans="1:38" ht="15" x14ac:dyDescent="0.2">
      <c r="C8" s="196"/>
      <c r="D8" s="325"/>
      <c r="E8" s="326"/>
      <c r="F8" s="326"/>
      <c r="G8" s="326"/>
      <c r="H8" s="326"/>
      <c r="I8" s="326"/>
      <c r="J8" s="326"/>
      <c r="K8" s="326"/>
      <c r="L8" s="326"/>
    </row>
    <row r="9" spans="1:38" ht="15" x14ac:dyDescent="0.2">
      <c r="C9" s="196"/>
      <c r="D9" s="325"/>
      <c r="E9" s="326"/>
      <c r="F9" s="326"/>
      <c r="G9" s="326"/>
      <c r="H9" s="326"/>
      <c r="I9" s="326"/>
      <c r="J9" s="326"/>
      <c r="K9" s="326"/>
      <c r="L9" s="326"/>
    </row>
    <row r="10" spans="1:38" ht="15" x14ac:dyDescent="0.2">
      <c r="C10" s="196"/>
      <c r="D10" s="325"/>
      <c r="E10" s="326"/>
      <c r="F10" s="326"/>
      <c r="G10" s="326"/>
      <c r="H10" s="326"/>
      <c r="I10" s="326"/>
      <c r="J10" s="326"/>
      <c r="K10" s="326"/>
      <c r="L10" s="326"/>
    </row>
    <row r="11" spans="1:38" ht="15" x14ac:dyDescent="0.2">
      <c r="C11" s="196"/>
      <c r="D11" s="325"/>
      <c r="E11" s="326"/>
      <c r="F11" s="326"/>
      <c r="G11" s="326"/>
      <c r="H11" s="326"/>
      <c r="I11" s="326"/>
      <c r="J11" s="326"/>
      <c r="K11" s="326"/>
      <c r="L11" s="326"/>
    </row>
    <row r="12" spans="1:38" ht="15" x14ac:dyDescent="0.2">
      <c r="C12" s="196"/>
      <c r="D12" s="325"/>
      <c r="E12" s="326"/>
      <c r="F12" s="326"/>
      <c r="G12" s="326"/>
      <c r="H12" s="326"/>
      <c r="I12" s="326"/>
      <c r="J12" s="326"/>
      <c r="K12" s="326"/>
      <c r="L12" s="326"/>
    </row>
    <row r="13" spans="1:38" ht="15" x14ac:dyDescent="0.2">
      <c r="C13" s="196"/>
      <c r="D13" s="325"/>
      <c r="E13" s="326"/>
      <c r="F13" s="326"/>
      <c r="G13" s="326"/>
      <c r="H13" s="326"/>
      <c r="I13" s="326"/>
      <c r="J13" s="326"/>
      <c r="K13" s="326"/>
      <c r="L13" s="326"/>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638F0A05-D96D-4771-BA20-0219DC7D92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E25DDD-7C9A-4CFB-8B5B-F85AE8D79D23}">
  <ds:schemaRefs>
    <ds:schemaRef ds:uri="http://schemas.microsoft.com/sharepoint/v3/contenttype/forms"/>
  </ds:schemaRefs>
</ds:datastoreItem>
</file>

<file path=customXml/itemProps3.xml><?xml version="1.0" encoding="utf-8"?>
<ds:datastoreItem xmlns:ds="http://schemas.openxmlformats.org/officeDocument/2006/customXml" ds:itemID="{6D0EED4C-47F2-4FDA-8BEB-351FE8D13F93}">
  <ds:schemaRef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c75d1172-787a-498f-aaff-e17d79596d1f"/>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vt:lpstr>
      <vt:lpstr>Data Summary</vt:lpstr>
      <vt:lpstr>Reference Source Info</vt:lpstr>
      <vt:lpstr>DQI</vt:lpstr>
      <vt:lpstr>Calculations Sheet</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Matthew B. Jamieson</dc:creator>
  <cp:lastModifiedBy>Matthew B. Jamieson</cp:lastModifiedBy>
  <dcterms:created xsi:type="dcterms:W3CDTF">2014-02-03T17:21:38Z</dcterms:created>
  <dcterms:modified xsi:type="dcterms:W3CDTF">2014-12-18T19:46:02Z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