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15" windowWidth="25920" windowHeight="12990" tabRatio="724"/>
  </bookViews>
  <sheets>
    <sheet name="Info" sheetId="1" r:id="rId1"/>
    <sheet name="Data Summary" sheetId="2" r:id="rId2"/>
    <sheet name="PS" sheetId="3" r:id="rId3"/>
    <sheet name="Reference Source Info" sheetId="4" r:id="rId4"/>
    <sheet name="DQI" sheetId="5" r:id="rId5"/>
    <sheet name="Calculations Sheet" sheetId="6" r:id="rId6"/>
    <sheet name="Drivers" sheetId="10" r:id="rId7"/>
    <sheet name="Conversions" sheetId="9" r:id="rId8"/>
    <sheet name="Assumptions" sheetId="8" r:id="rId9"/>
    <sheet name="Check" sheetId="12" state="hidden" r:id="rId10"/>
    <sheet name="Chart" sheetId="13" r:id="rId11"/>
  </sheets>
  <calcPr calcId="171027" calcMode="manual"/>
</workbook>
</file>

<file path=xl/calcChain.xml><?xml version="1.0" encoding="utf-8"?>
<calcChain xmlns="http://schemas.openxmlformats.org/spreadsheetml/2006/main">
  <c r="D101" i="2" l="1"/>
  <c r="E98" i="2"/>
  <c r="E101" i="2" s="1"/>
  <c r="C48" i="6"/>
  <c r="E48" i="6"/>
  <c r="F48" i="6"/>
  <c r="C49" i="6"/>
  <c r="F49" i="6" s="1"/>
  <c r="E49" i="6"/>
  <c r="C50" i="6"/>
  <c r="F50" i="6" s="1"/>
  <c r="E50" i="6"/>
  <c r="C51" i="6"/>
  <c r="F51" i="6" s="1"/>
  <c r="E51" i="6"/>
  <c r="C52" i="6"/>
  <c r="F52" i="6" s="1"/>
  <c r="E52" i="6"/>
  <c r="C53" i="6"/>
  <c r="E53" i="6"/>
  <c r="C54" i="6"/>
  <c r="E54" i="6"/>
  <c r="E23" i="6"/>
  <c r="E24" i="6"/>
  <c r="E25" i="6"/>
  <c r="E26" i="6"/>
  <c r="E27" i="6"/>
  <c r="E28" i="6"/>
  <c r="E29" i="6"/>
  <c r="D60" i="6"/>
  <c r="F60" i="6" s="1"/>
  <c r="E47" i="2"/>
  <c r="D61" i="6"/>
  <c r="F61" i="6" s="1"/>
  <c r="E48" i="2"/>
  <c r="E54" i="2" s="1"/>
  <c r="D62" i="6"/>
  <c r="F62" i="6" s="1"/>
  <c r="E49" i="2"/>
  <c r="D63" i="6"/>
  <c r="F63" i="6" s="1"/>
  <c r="E50" i="2"/>
  <c r="D64" i="6"/>
  <c r="F64" i="6" s="1"/>
  <c r="E51" i="2"/>
  <c r="D65" i="6"/>
  <c r="F65" i="6" s="1"/>
  <c r="E52" i="2"/>
  <c r="D66" i="6"/>
  <c r="F66" i="6" s="1"/>
  <c r="E53" i="2"/>
  <c r="B110" i="2"/>
  <c r="B109" i="2"/>
  <c r="D125" i="9"/>
  <c r="D109" i="2" s="1"/>
  <c r="E74" i="2"/>
  <c r="E75" i="2"/>
  <c r="E76" i="2"/>
  <c r="E77" i="2"/>
  <c r="E78" i="2"/>
  <c r="E79" i="2"/>
  <c r="E80" i="2"/>
  <c r="E88" i="2" s="1"/>
  <c r="E66" i="2"/>
  <c r="B90" i="2"/>
  <c r="E39" i="2"/>
  <c r="D124" i="9"/>
  <c r="D110" i="2" s="1"/>
  <c r="D123" i="9"/>
  <c r="D121" i="9"/>
  <c r="B63" i="2"/>
  <c r="D112" i="9"/>
  <c r="D111" i="9"/>
  <c r="D109" i="9"/>
  <c r="B97" i="2"/>
  <c r="B65" i="2"/>
  <c r="G120" i="2"/>
  <c r="G119" i="2"/>
  <c r="F120" i="2"/>
  <c r="F119" i="2"/>
  <c r="AB12" i="10"/>
  <c r="Z12" i="10"/>
  <c r="X12" i="10"/>
  <c r="Y12" i="10" s="1"/>
  <c r="Y15" i="10" s="1"/>
  <c r="V12" i="10"/>
  <c r="T36" i="10"/>
  <c r="R36" i="10"/>
  <c r="P36" i="10"/>
  <c r="N36" i="10"/>
  <c r="L36" i="10"/>
  <c r="J36" i="10"/>
  <c r="H36" i="10"/>
  <c r="F36" i="10"/>
  <c r="D36" i="10"/>
  <c r="AB10" i="10"/>
  <c r="Z10" i="10"/>
  <c r="X10" i="10"/>
  <c r="V10" i="10"/>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Q7" i="12"/>
  <c r="Q6" i="12"/>
  <c r="Q5" i="12"/>
  <c r="Q4" i="12"/>
  <c r="Q3" i="12"/>
  <c r="Q2" i="12"/>
  <c r="Q1" i="12"/>
  <c r="D107" i="2"/>
  <c r="D106" i="2"/>
  <c r="D105" i="2"/>
  <c r="P111" i="12"/>
  <c r="P110" i="12"/>
  <c r="P109" i="12"/>
  <c r="P108" i="12"/>
  <c r="P107" i="12"/>
  <c r="P106" i="12"/>
  <c r="P105" i="12"/>
  <c r="P104" i="12"/>
  <c r="P103" i="12"/>
  <c r="P102" i="12"/>
  <c r="P101" i="12"/>
  <c r="P100" i="12"/>
  <c r="P99" i="12"/>
  <c r="P98" i="12"/>
  <c r="P97" i="12"/>
  <c r="P96" i="12"/>
  <c r="P95" i="12"/>
  <c r="P94" i="12"/>
  <c r="P93" i="12"/>
  <c r="P92" i="12"/>
  <c r="P91" i="12"/>
  <c r="P90" i="12"/>
  <c r="P89" i="12"/>
  <c r="P88" i="12"/>
  <c r="P87" i="12"/>
  <c r="P86" i="12"/>
  <c r="P85" i="12"/>
  <c r="P84" i="12"/>
  <c r="P83" i="12"/>
  <c r="P82" i="12"/>
  <c r="P81" i="12"/>
  <c r="P80" i="12"/>
  <c r="P79" i="12"/>
  <c r="P78" i="12"/>
  <c r="P77" i="12"/>
  <c r="P76" i="12"/>
  <c r="P75" i="12"/>
  <c r="P74" i="12"/>
  <c r="P73" i="12"/>
  <c r="P72" i="12"/>
  <c r="P71" i="12"/>
  <c r="P70" i="12"/>
  <c r="P69" i="12"/>
  <c r="P68" i="12"/>
  <c r="P67" i="12"/>
  <c r="P66" i="12"/>
  <c r="P65" i="12"/>
  <c r="P64" i="12"/>
  <c r="P63" i="12"/>
  <c r="P62" i="12"/>
  <c r="P61" i="12"/>
  <c r="P60" i="12"/>
  <c r="P59" i="12"/>
  <c r="P58" i="12"/>
  <c r="P57" i="12"/>
  <c r="P56" i="12"/>
  <c r="P55" i="12"/>
  <c r="P54" i="12"/>
  <c r="P53" i="12"/>
  <c r="P52" i="12"/>
  <c r="P51" i="12"/>
  <c r="P50" i="12"/>
  <c r="P49" i="12"/>
  <c r="P48" i="12"/>
  <c r="P47" i="12"/>
  <c r="P46" i="12"/>
  <c r="P45" i="12"/>
  <c r="P44" i="12"/>
  <c r="P43" i="12"/>
  <c r="P42"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P4" i="12"/>
  <c r="P3" i="12"/>
  <c r="P2" i="12"/>
  <c r="P1" i="12"/>
  <c r="O56" i="12"/>
  <c r="O2" i="12"/>
  <c r="O3" i="12"/>
  <c r="O4" i="12"/>
  <c r="O5" i="12"/>
  <c r="O6" i="12"/>
  <c r="O7" i="12"/>
  <c r="O8" i="12"/>
  <c r="O9" i="12"/>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O47" i="12"/>
  <c r="O48" i="12"/>
  <c r="O49" i="12"/>
  <c r="O50" i="12"/>
  <c r="O51" i="12"/>
  <c r="O52" i="12"/>
  <c r="O53" i="12"/>
  <c r="O54" i="12"/>
  <c r="O55" i="12"/>
  <c r="O57" i="12"/>
  <c r="O58" i="12"/>
  <c r="O59" i="12"/>
  <c r="O60" i="12"/>
  <c r="O61" i="12"/>
  <c r="O62" i="12"/>
  <c r="O63" i="12"/>
  <c r="O64" i="12"/>
  <c r="O65" i="12"/>
  <c r="O66" i="12"/>
  <c r="O67" i="12"/>
  <c r="O68" i="12"/>
  <c r="O69" i="12"/>
  <c r="O70" i="12"/>
  <c r="O71" i="12"/>
  <c r="O72" i="12"/>
  <c r="O73" i="12"/>
  <c r="O74" i="12"/>
  <c r="O75" i="12"/>
  <c r="O76" i="12"/>
  <c r="O77" i="12"/>
  <c r="O78" i="12"/>
  <c r="O79" i="12"/>
  <c r="O80" i="12"/>
  <c r="O81" i="12"/>
  <c r="O82" i="12"/>
  <c r="O83" i="12"/>
  <c r="O84" i="12"/>
  <c r="O85" i="12"/>
  <c r="O86" i="12"/>
  <c r="O87" i="12"/>
  <c r="O88" i="12"/>
  <c r="O89" i="12"/>
  <c r="O90" i="12"/>
  <c r="O91" i="12"/>
  <c r="O92" i="12"/>
  <c r="O93" i="12"/>
  <c r="O94" i="12"/>
  <c r="O95" i="12"/>
  <c r="O96" i="12"/>
  <c r="O97" i="12"/>
  <c r="O98" i="12"/>
  <c r="O99" i="12"/>
  <c r="O100" i="12"/>
  <c r="O101" i="12"/>
  <c r="O102" i="12"/>
  <c r="O103" i="12"/>
  <c r="O104" i="12"/>
  <c r="O105" i="12"/>
  <c r="O106" i="12"/>
  <c r="O107" i="12"/>
  <c r="O108" i="12"/>
  <c r="O109" i="12"/>
  <c r="O110" i="12"/>
  <c r="O111" i="12"/>
  <c r="O1" i="12"/>
  <c r="D104" i="2"/>
  <c r="D134" i="2"/>
  <c r="D133" i="2"/>
  <c r="D132" i="2"/>
  <c r="D131" i="2"/>
  <c r="D130" i="2"/>
  <c r="D129" i="2"/>
  <c r="D117" i="2"/>
  <c r="D116" i="2"/>
  <c r="D95" i="2"/>
  <c r="D92" i="2"/>
  <c r="J73" i="9"/>
  <c r="J89" i="9" s="1"/>
  <c r="J74" i="9"/>
  <c r="J90" i="9"/>
  <c r="J75" i="9"/>
  <c r="J91" i="9" s="1"/>
  <c r="J76" i="9"/>
  <c r="J92" i="9" s="1"/>
  <c r="J101" i="9" s="1"/>
  <c r="J77" i="9"/>
  <c r="J93" i="9" s="1"/>
  <c r="J78" i="9"/>
  <c r="J94" i="9" s="1"/>
  <c r="J79" i="9"/>
  <c r="J95" i="9" s="1"/>
  <c r="C23" i="6"/>
  <c r="F23" i="6" s="1"/>
  <c r="C24" i="6"/>
  <c r="F24" i="6" s="1"/>
  <c r="C25" i="6"/>
  <c r="C26" i="6"/>
  <c r="F26" i="6" s="1"/>
  <c r="C27" i="6"/>
  <c r="F27" i="6" s="1"/>
  <c r="C28" i="6"/>
  <c r="F28" i="6" s="1"/>
  <c r="C29" i="6"/>
  <c r="F29" i="6" s="1"/>
  <c r="E35" i="2"/>
  <c r="E24" i="2"/>
  <c r="E25" i="2"/>
  <c r="E30" i="2"/>
  <c r="E94" i="2" s="1"/>
  <c r="E128" i="2"/>
  <c r="H141" i="2"/>
  <c r="H142" i="2"/>
  <c r="H143" i="2"/>
  <c r="H144" i="2"/>
  <c r="H145" i="2"/>
  <c r="B134" i="2"/>
  <c r="B133" i="2"/>
  <c r="B132" i="2"/>
  <c r="B131" i="2"/>
  <c r="B130" i="2"/>
  <c r="B129" i="2"/>
  <c r="B128" i="2"/>
  <c r="B127" i="2"/>
  <c r="B126" i="2"/>
  <c r="B125" i="2"/>
  <c r="B124" i="2"/>
  <c r="B123" i="2"/>
  <c r="B122" i="2"/>
  <c r="B121" i="2"/>
  <c r="B120" i="2"/>
  <c r="B119" i="2"/>
  <c r="B118" i="2"/>
  <c r="U29" i="10"/>
  <c r="T29" i="10"/>
  <c r="S29" i="10"/>
  <c r="R29" i="10"/>
  <c r="Q29" i="10"/>
  <c r="P29" i="10"/>
  <c r="O29" i="10"/>
  <c r="N29" i="10"/>
  <c r="M29" i="10"/>
  <c r="L29" i="10"/>
  <c r="K29" i="10"/>
  <c r="J29" i="10"/>
  <c r="I29" i="10"/>
  <c r="H29" i="10"/>
  <c r="G29" i="10"/>
  <c r="F29" i="10"/>
  <c r="E29" i="10"/>
  <c r="D29" i="10"/>
  <c r="AB15" i="10"/>
  <c r="Z15" i="10"/>
  <c r="V15" i="10"/>
  <c r="U15" i="10"/>
  <c r="T15" i="10"/>
  <c r="S15" i="10"/>
  <c r="R15" i="10"/>
  <c r="Q15" i="10"/>
  <c r="P15" i="10"/>
  <c r="O15" i="10"/>
  <c r="N15" i="10"/>
  <c r="M15" i="10"/>
  <c r="L15" i="10"/>
  <c r="K15" i="10"/>
  <c r="J15" i="10"/>
  <c r="I15" i="10"/>
  <c r="H15" i="10"/>
  <c r="G15" i="10"/>
  <c r="F15" i="10"/>
  <c r="E15" i="10"/>
  <c r="D15" i="10"/>
  <c r="B111" i="2"/>
  <c r="B108" i="2"/>
  <c r="B102" i="2"/>
  <c r="B103" i="2"/>
  <c r="B104" i="2"/>
  <c r="B105" i="2"/>
  <c r="B106" i="2"/>
  <c r="B107" i="2"/>
  <c r="B114" i="2"/>
  <c r="B115" i="2"/>
  <c r="B116" i="2"/>
  <c r="B117" i="2"/>
  <c r="B101" i="2"/>
  <c r="B100" i="2"/>
  <c r="B99" i="2"/>
  <c r="B98" i="2"/>
  <c r="B96" i="2"/>
  <c r="D151" i="2"/>
  <c r="B33" i="2"/>
  <c r="D64" i="2"/>
  <c r="B47" i="2"/>
  <c r="B48" i="2"/>
  <c r="B49" i="2"/>
  <c r="B50" i="2"/>
  <c r="B51" i="2"/>
  <c r="B52" i="2"/>
  <c r="B53" i="2"/>
  <c r="B54" i="2"/>
  <c r="B55" i="2"/>
  <c r="B56" i="2"/>
  <c r="B57" i="2"/>
  <c r="B58" i="2"/>
  <c r="B59" i="2"/>
  <c r="B60" i="2"/>
  <c r="B61" i="2"/>
  <c r="B62" i="2"/>
  <c r="B64" i="2"/>
  <c r="B66" i="2"/>
  <c r="D62" i="2"/>
  <c r="D54" i="2"/>
  <c r="D48" i="2"/>
  <c r="D49" i="2"/>
  <c r="D50" i="2"/>
  <c r="D51" i="2"/>
  <c r="D52" i="2"/>
  <c r="D53" i="2"/>
  <c r="D47" i="2"/>
  <c r="D74" i="2"/>
  <c r="B92" i="2"/>
  <c r="B38" i="2"/>
  <c r="B39" i="2"/>
  <c r="B40" i="2"/>
  <c r="B41" i="2"/>
  <c r="B42" i="2"/>
  <c r="B43" i="2"/>
  <c r="B44" i="2"/>
  <c r="B45" i="2"/>
  <c r="B46" i="2"/>
  <c r="B74" i="2"/>
  <c r="D75" i="2"/>
  <c r="D76" i="2"/>
  <c r="D77" i="2"/>
  <c r="D78" i="2"/>
  <c r="D79" i="2"/>
  <c r="D80" i="2"/>
  <c r="E104" i="9"/>
  <c r="E103" i="9"/>
  <c r="H103" i="9" s="1"/>
  <c r="E102" i="9"/>
  <c r="H102" i="9" s="1"/>
  <c r="E101" i="9"/>
  <c r="E100" i="9"/>
  <c r="E99" i="9"/>
  <c r="G99" i="9" s="1"/>
  <c r="E98" i="9"/>
  <c r="E89" i="9"/>
  <c r="H98" i="9" s="1"/>
  <c r="E90" i="9"/>
  <c r="E91" i="9"/>
  <c r="E92" i="9"/>
  <c r="E93" i="9"/>
  <c r="E94" i="9"/>
  <c r="E95" i="9"/>
  <c r="H104" i="9"/>
  <c r="B95" i="2"/>
  <c r="D94" i="2"/>
  <c r="B94" i="2"/>
  <c r="D93" i="2"/>
  <c r="B93" i="2"/>
  <c r="D91" i="2"/>
  <c r="B91" i="2"/>
  <c r="D89" i="2"/>
  <c r="B89" i="2"/>
  <c r="B88" i="2"/>
  <c r="B87" i="2"/>
  <c r="B86" i="2"/>
  <c r="B85" i="2"/>
  <c r="B84" i="2"/>
  <c r="B83" i="2"/>
  <c r="B82" i="2"/>
  <c r="D81" i="2"/>
  <c r="B81" i="2"/>
  <c r="B80" i="2"/>
  <c r="B79" i="2"/>
  <c r="B78" i="2"/>
  <c r="B77" i="2"/>
  <c r="B76" i="2"/>
  <c r="B75" i="2"/>
  <c r="B73" i="2"/>
  <c r="B72" i="2"/>
  <c r="B71" i="2"/>
  <c r="B70" i="2"/>
  <c r="B69" i="2"/>
  <c r="B68" i="2"/>
  <c r="B67" i="2"/>
  <c r="B37" i="2"/>
  <c r="B36" i="2"/>
  <c r="B35" i="2"/>
  <c r="B34" i="2"/>
  <c r="B32" i="2"/>
  <c r="G31" i="2"/>
  <c r="F31" i="2"/>
  <c r="B31" i="2"/>
  <c r="B30" i="2"/>
  <c r="B29" i="2"/>
  <c r="B28" i="2"/>
  <c r="B27" i="2"/>
  <c r="B26" i="2"/>
  <c r="B25" i="2"/>
  <c r="B24" i="2"/>
  <c r="B23" i="2"/>
  <c r="G98" i="9"/>
  <c r="G102" i="9"/>
  <c r="J99" i="9"/>
  <c r="E44" i="9"/>
  <c r="E34" i="9"/>
  <c r="E38" i="9"/>
  <c r="E32" i="9"/>
  <c r="AC12" i="10" s="1"/>
  <c r="AC15" i="10" s="1"/>
  <c r="E25" i="9"/>
  <c r="E26" i="9" s="1"/>
  <c r="E29" i="9" s="1"/>
  <c r="E27" i="9"/>
  <c r="E21" i="9"/>
  <c r="E17" i="9"/>
  <c r="E15" i="9"/>
  <c r="E16" i="9" s="1"/>
  <c r="E14" i="9"/>
  <c r="E8" i="9"/>
  <c r="E6" i="9"/>
  <c r="D3" i="1"/>
  <c r="C28" i="1"/>
  <c r="I8" i="5"/>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c r="I152" i="2"/>
  <c r="H152" i="2"/>
  <c r="G152" i="2"/>
  <c r="G151" i="2"/>
  <c r="I151" i="2" s="1"/>
  <c r="H151" i="2"/>
  <c r="H140" i="2"/>
  <c r="G11" i="2"/>
  <c r="N5" i="2"/>
  <c r="D4" i="1"/>
  <c r="H101" i="9" l="1"/>
  <c r="X15" i="10"/>
  <c r="J103" i="9"/>
  <c r="W12" i="10"/>
  <c r="W15" i="10" s="1"/>
  <c r="E85" i="2"/>
  <c r="F53" i="6"/>
  <c r="F55" i="6" s="1"/>
  <c r="J102" i="9"/>
  <c r="H99" i="9"/>
  <c r="E81" i="2"/>
  <c r="G121" i="2"/>
  <c r="F25" i="6"/>
  <c r="E55" i="2"/>
  <c r="E36" i="2"/>
  <c r="E37" i="2" s="1"/>
  <c r="F54" i="6"/>
  <c r="E39" i="9"/>
  <c r="E40" i="9" s="1"/>
  <c r="E41" i="9" s="1"/>
  <c r="J100" i="9"/>
  <c r="L104" i="9" s="1"/>
  <c r="J98" i="9"/>
  <c r="D90" i="2"/>
  <c r="D84" i="2"/>
  <c r="D57" i="2"/>
  <c r="E57" i="2"/>
  <c r="E84" i="2"/>
  <c r="E83" i="2"/>
  <c r="E56" i="2"/>
  <c r="D56" i="2"/>
  <c r="D83" i="2"/>
  <c r="D82" i="2"/>
  <c r="D55" i="2"/>
  <c r="F30" i="6"/>
  <c r="H105" i="9"/>
  <c r="D88" i="2"/>
  <c r="E61" i="2"/>
  <c r="D61" i="2"/>
  <c r="D87" i="2"/>
  <c r="E60" i="2"/>
  <c r="D60" i="2"/>
  <c r="J104" i="9"/>
  <c r="E59" i="2"/>
  <c r="E86" i="2"/>
  <c r="D86" i="2"/>
  <c r="D59" i="2"/>
  <c r="E87" i="2"/>
  <c r="D85" i="2"/>
  <c r="D58" i="2"/>
  <c r="E58" i="2"/>
  <c r="G104" i="9"/>
  <c r="G103" i="9"/>
  <c r="H100" i="9"/>
  <c r="D63" i="2"/>
  <c r="E35" i="9"/>
  <c r="G101" i="9"/>
  <c r="F121" i="2"/>
  <c r="E26" i="2"/>
  <c r="E93" i="2" s="1"/>
  <c r="E82" i="2"/>
  <c r="G100" i="9"/>
  <c r="AA12" i="10"/>
  <c r="AA15" i="10" s="1"/>
  <c r="G118" i="2" s="1"/>
  <c r="E62" i="2" l="1"/>
  <c r="F57" i="6"/>
  <c r="E102" i="2" s="1"/>
  <c r="E104" i="2" s="1"/>
  <c r="E105" i="2" s="1"/>
  <c r="E106" i="2" s="1"/>
  <c r="E107" i="2" s="1"/>
  <c r="G105" i="9"/>
  <c r="G106" i="9" s="1"/>
  <c r="E109" i="2"/>
  <c r="E63" i="2"/>
  <c r="E89" i="2"/>
  <c r="E90" i="2" s="1"/>
  <c r="E91" i="2" s="1"/>
  <c r="L106" i="9"/>
  <c r="F118" i="2"/>
  <c r="E110" i="2" l="1"/>
  <c r="E64" i="2"/>
  <c r="E92" i="2" s="1"/>
  <c r="E95" i="2" s="1"/>
  <c r="E112" i="2" l="1"/>
  <c r="E111" i="2"/>
  <c r="E114" i="2"/>
  <c r="E113" i="2"/>
  <c r="E115" i="2"/>
  <c r="E116" i="2" s="1"/>
  <c r="E117" i="2" s="1"/>
  <c r="E129" i="2" l="1"/>
  <c r="G140" i="2" s="1"/>
  <c r="I140" i="2" s="1"/>
  <c r="E133" i="2"/>
  <c r="G144" i="2" s="1"/>
  <c r="I144" i="2" s="1"/>
  <c r="E131" i="2"/>
  <c r="G142" i="2" s="1"/>
  <c r="I142" i="2" s="1"/>
  <c r="E134" i="2"/>
  <c r="G145" i="2" s="1"/>
  <c r="I145" i="2" s="1"/>
  <c r="E132" i="2"/>
  <c r="G143" i="2" s="1"/>
  <c r="I143" i="2" s="1"/>
  <c r="E130" i="2"/>
  <c r="G141" i="2" s="1"/>
  <c r="I141" i="2" s="1"/>
</calcChain>
</file>

<file path=xl/comments1.xml><?xml version="1.0" encoding="utf-8"?>
<comments xmlns="http://schemas.openxmlformats.org/spreadsheetml/2006/main">
  <authors>
    <author>Robert Eckard</author>
  </authors>
  <commentList>
    <comment ref="D151" authorId="0" shape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sharedStrings.xml><?xml version="1.0" encoding="utf-8"?>
<sst xmlns="http://schemas.openxmlformats.org/spreadsheetml/2006/main" count="1866" uniqueCount="952">
  <si>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</si>
  <si>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</si>
  <si>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</si>
  <si>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</si>
  <si>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</si>
  <si>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</si>
  <si>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</si>
  <si>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</si>
  <si>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</si>
  <si>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</si>
  <si>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</si>
  <si>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</si>
  <si>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</si>
  <si>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</si>
  <si>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</si>
  <si>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</si>
  <si>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</si>
  <si>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</si>
  <si>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</si>
  <si>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</si>
  <si>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</si>
  <si>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</si>
  <si>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</si>
  <si>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</si>
  <si>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</si>
  <si>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</si>
  <si>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</si>
  <si>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</si>
  <si>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</si>
  <si>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</si>
  <si>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</si>
  <si>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</si>
  <si>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</si>
  <si>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</si>
  <si>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</si>
  <si>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</si>
  <si>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</si>
  <si>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</si>
  <si>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</si>
  <si>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</si>
  <si>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</si>
  <si>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</si>
  <si>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</si>
  <si>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</si>
  <si>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</si>
  <si>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</si>
  <si>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</si>
  <si>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</si>
  <si>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</si>
  <si>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</si>
  <si>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</si>
  <si>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</si>
  <si>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</si>
  <si>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</si>
  <si>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</si>
  <si>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</si>
  <si>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</si>
  <si>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</si>
  <si>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</si>
  <si>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</si>
  <si>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</si>
  <si>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</si>
  <si>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</si>
  <si>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</si>
  <si>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</si>
  <si>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</si>
  <si>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</si>
  <si>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</si>
  <si>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</si>
  <si>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</si>
  <si>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</si>
  <si>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</si>
  <si>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</si>
  <si>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</si>
  <si>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</si>
  <si>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</si>
  <si>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</si>
  <si>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</si>
  <si>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</si>
  <si>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</si>
  <si>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</si>
  <si>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</si>
  <si>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</si>
  <si>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</si>
  <si>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</si>
  <si>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</si>
  <si>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</si>
  <si>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</si>
  <si>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</si>
  <si>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</si>
  <si>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</si>
  <si>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</si>
  <si>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</si>
  <si>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</si>
  <si>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</si>
  <si>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</si>
  <si>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</si>
  <si>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</si>
  <si>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</si>
  <si>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</si>
  <si>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</si>
  <si>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</si>
  <si>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</si>
  <si>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</si>
  <si>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</si>
  <si>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</si>
  <si>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</si>
  <si>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</si>
  <si>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</si>
  <si>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</si>
  <si>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</si>
  <si>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</si>
  <si>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</si>
  <si>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</si>
  <si>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</si>
  <si>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</si>
  <si>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</si>
  <si>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</si>
  <si>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</si>
  <si>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</si>
  <si>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</si>
  <si>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</si>
  <si>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</si>
  <si>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</si>
  <si>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</si>
  <si>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</si>
  <si>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</si>
  <si>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</si>
  <si>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</si>
  <si>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</si>
  <si>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</si>
  <si>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</si>
  <si>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</si>
  <si>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</si>
  <si>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</si>
  <si>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</si>
  <si>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</si>
  <si>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</si>
  <si>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</si>
  <si>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</si>
  <si>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</si>
  <si>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</si>
  <si>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</si>
  <si>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</si>
  <si>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</si>
  <si>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</si>
  <si>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</si>
  <si>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</si>
  <si>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</si>
  <si>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</si>
  <si>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</si>
  <si>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</si>
  <si>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</si>
  <si>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</si>
  <si>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</si>
  <si>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</si>
  <si>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</si>
  <si>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</si>
  <si>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</si>
  <si>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</si>
  <si>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</si>
  <si>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</si>
  <si>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</si>
  <si>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</si>
  <si>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</si>
  <si>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</si>
  <si>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</si>
  <si>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</si>
  <si>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</si>
  <si>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</si>
  <si>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</si>
  <si>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</si>
  <si>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</si>
  <si>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</si>
  <si>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</si>
  <si>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</si>
  <si>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</si>
  <si>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</si>
  <si>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</si>
  <si>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</si>
  <si>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</si>
  <si>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</si>
  <si>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</si>
  <si>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</si>
  <si>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</si>
  <si>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</si>
  <si>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</si>
  <si>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</si>
  <si>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</si>
  <si>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</si>
  <si>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</si>
  <si>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</si>
  <si>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</si>
  <si>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</si>
  <si>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</si>
  <si>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</si>
  <si>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</si>
  <si>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</si>
  <si>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</si>
  <si>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</si>
  <si>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</si>
  <si>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</si>
  <si>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</si>
  <si>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</si>
  <si>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</si>
  <si>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</si>
  <si>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</si>
  <si>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</si>
  <si>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</si>
  <si>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</si>
  <si>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</si>
  <si>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</si>
  <si>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</si>
  <si>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</si>
  <si>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</si>
  <si>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</si>
  <si>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</si>
  <si>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</si>
  <si>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</si>
  <si>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</si>
  <si>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</si>
  <si>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</si>
  <si>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</si>
  <si>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</si>
  <si>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</si>
  <si>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</si>
  <si>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</si>
  <si>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</si>
  <si>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</si>
  <si>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</si>
  <si>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</si>
  <si>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</si>
  <si>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</si>
  <si>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</si>
  <si>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</si>
  <si>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</si>
  <si>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Length</t>
  </si>
  <si>
    <t>feet per meter</t>
  </si>
  <si>
    <t>ft/m</t>
  </si>
  <si>
    <t>meters per foot</t>
  </si>
  <si>
    <t>m/ft</t>
  </si>
  <si>
    <t>meters per inch</t>
  </si>
  <si>
    <t>m/in</t>
  </si>
  <si>
    <t>inches per meter</t>
  </si>
  <si>
    <t>in/m</t>
  </si>
  <si>
    <t>miles per kilometer</t>
  </si>
  <si>
    <t>mi/km</t>
  </si>
  <si>
    <t>Mass</t>
  </si>
  <si>
    <t>pounds per kilogram</t>
  </si>
  <si>
    <t>lb/kg</t>
  </si>
  <si>
    <t>kilogram per pounds</t>
  </si>
  <si>
    <t>kg/lb</t>
  </si>
  <si>
    <t>grams per kilogram</t>
  </si>
  <si>
    <t>g/kg</t>
  </si>
  <si>
    <t>kilograms per gram</t>
  </si>
  <si>
    <t>kg/g</t>
  </si>
  <si>
    <t>grams per pound</t>
  </si>
  <si>
    <t>g/lb</t>
  </si>
  <si>
    <t>pounds per gram</t>
  </si>
  <si>
    <t>lb/g</t>
  </si>
  <si>
    <t>pounds per component-day</t>
  </si>
  <si>
    <t>g per component-yr</t>
  </si>
  <si>
    <t>Volume</t>
  </si>
  <si>
    <t>m3 per yd3</t>
  </si>
  <si>
    <t>m3/yd3</t>
  </si>
  <si>
    <t>gallons per barrel</t>
  </si>
  <si>
    <t>gal/bbl</t>
  </si>
  <si>
    <t>bbls per gallon</t>
  </si>
  <si>
    <t>bbl/gal</t>
  </si>
  <si>
    <t>liters per gallon</t>
  </si>
  <si>
    <t>l/gal</t>
  </si>
  <si>
    <t>liters per cuft</t>
  </si>
  <si>
    <t>l/cuft</t>
  </si>
  <si>
    <t>liters per bbl</t>
  </si>
  <si>
    <t>l/bbl</t>
  </si>
  <si>
    <t>m3 per bbl</t>
  </si>
  <si>
    <t>m3/bbl</t>
  </si>
  <si>
    <t>ft3 per bbl</t>
  </si>
  <si>
    <t>ft3/bbl</t>
  </si>
  <si>
    <t>bbl per m3</t>
  </si>
  <si>
    <t>bbl/m3</t>
  </si>
  <si>
    <t>liters per mol @ STP</t>
  </si>
  <si>
    <t>l/mol</t>
  </si>
  <si>
    <t>ft3 per m3</t>
  </si>
  <si>
    <t>ft3/m3</t>
  </si>
  <si>
    <t>Energy</t>
  </si>
  <si>
    <t>Btu per Joule</t>
  </si>
  <si>
    <t>Btu/J</t>
  </si>
  <si>
    <t>Btu per MJ</t>
  </si>
  <si>
    <t>Btu/MJ</t>
  </si>
  <si>
    <t>Joules per Btu</t>
  </si>
  <si>
    <t>J/Btu</t>
  </si>
  <si>
    <t>MJ per Btu</t>
  </si>
  <si>
    <t>MJ/Btu</t>
  </si>
  <si>
    <t>MJ per MMBtu</t>
  </si>
  <si>
    <t>MJ/MMBtu</t>
  </si>
  <si>
    <t>Joules per calorie</t>
  </si>
  <si>
    <t>J/cal</t>
  </si>
  <si>
    <t>MJ per kWh</t>
  </si>
  <si>
    <t>MJ/kWh</t>
  </si>
  <si>
    <t>kWh per MJ</t>
  </si>
  <si>
    <t>kWh/MJ</t>
  </si>
  <si>
    <t>kWh per Btu</t>
  </si>
  <si>
    <t>kWh/Btu</t>
  </si>
  <si>
    <t>Btu per kWh</t>
  </si>
  <si>
    <t>Btu/kWh</t>
  </si>
  <si>
    <t>MMBtu per MWh</t>
  </si>
  <si>
    <t>MMBtu/MWh</t>
  </si>
  <si>
    <t>Power</t>
  </si>
  <si>
    <t>hp per kW</t>
  </si>
  <si>
    <t>hp/kW</t>
  </si>
  <si>
    <t>kW per hp</t>
  </si>
  <si>
    <t>kW/hp</t>
  </si>
  <si>
    <t>Table 4.1: Other fuels properties</t>
  </si>
  <si>
    <t>Fuel</t>
  </si>
  <si>
    <t>Density</t>
  </si>
  <si>
    <t>C ratio</t>
  </si>
  <si>
    <t>LHV</t>
  </si>
  <si>
    <t>HHV</t>
  </si>
  <si>
    <t>(% by wt)</t>
  </si>
  <si>
    <t>Liquid Fuels:</t>
  </si>
  <si>
    <t>Btu/gal</t>
  </si>
  <si>
    <t>grams/gal</t>
  </si>
  <si>
    <t>Crude oil</t>
  </si>
  <si>
    <t>Conventional gasoline</t>
  </si>
  <si>
    <t>Reformulated or low-sulfur gasoline</t>
  </si>
  <si>
    <t>CA reformulated gasoline</t>
  </si>
  <si>
    <t>U.S. conventional diesel</t>
  </si>
  <si>
    <t>Diesel for non-road engines</t>
  </si>
  <si>
    <t>Low-sulfur diesel</t>
  </si>
  <si>
    <t>Liquid petroleum gas (LPG)</t>
  </si>
  <si>
    <t>Residual oil</t>
  </si>
  <si>
    <t>Gaseous Fuels (at 32F and 1atm):</t>
  </si>
  <si>
    <t>Btu/ft3</t>
  </si>
  <si>
    <t>gms/ft3</t>
  </si>
  <si>
    <t>Natural gas</t>
  </si>
  <si>
    <t>Gaseous hydrogen</t>
  </si>
  <si>
    <t>Carbon Dioxide</t>
  </si>
  <si>
    <t>Still gas (in refineries)</t>
  </si>
  <si>
    <t>Solid fuels</t>
  </si>
  <si>
    <t>Btu/ton</t>
  </si>
  <si>
    <t>Petroleum coke</t>
  </si>
  <si>
    <t>Coal</t>
  </si>
  <si>
    <t>Bituminous coal</t>
  </si>
  <si>
    <t>Coking coal</t>
  </si>
  <si>
    <t>Nitrogen density</t>
  </si>
  <si>
    <t>lbm/ft^3</t>
  </si>
  <si>
    <t>NIST - 20C and 1 atm</t>
  </si>
  <si>
    <t>kg/ft^3</t>
  </si>
  <si>
    <t>CO2 density</t>
  </si>
  <si>
    <t>Methane density</t>
  </si>
  <si>
    <t>Ethane density</t>
  </si>
  <si>
    <t>Propane density</t>
  </si>
  <si>
    <t>Butane density</t>
  </si>
  <si>
    <t>Hydrogen sulfide</t>
  </si>
  <si>
    <t>Nitrogen molar mass</t>
  </si>
  <si>
    <t>lbm/lb-mol or kg/kmol</t>
  </si>
  <si>
    <t>CO2 molar mass</t>
  </si>
  <si>
    <t>Methane molar mass</t>
  </si>
  <si>
    <t>Ethane molar mass</t>
  </si>
  <si>
    <t>Propane molar mass</t>
  </si>
  <si>
    <t>Butane molar mass</t>
  </si>
  <si>
    <t>Hydrogen sulfide molar mass</t>
  </si>
  <si>
    <t>Nitrogen molar volume</t>
  </si>
  <si>
    <t>ft^3/lb-mol</t>
  </si>
  <si>
    <t>ft^3/mol</t>
  </si>
  <si>
    <t>CO2 molar volume</t>
  </si>
  <si>
    <t>Methane molar volume</t>
  </si>
  <si>
    <t>Ethane molar volume</t>
  </si>
  <si>
    <t>Propane molar volume</t>
  </si>
  <si>
    <t>Butane molar volume</t>
  </si>
  <si>
    <t>Hydrogen sulfide molar volume</t>
  </si>
  <si>
    <t>lb-mol</t>
  </si>
  <si>
    <t>Weighted average molar mass</t>
  </si>
  <si>
    <t>Weighted average molar volume</t>
  </si>
  <si>
    <t>Ratio molar mass to molar volume</t>
  </si>
  <si>
    <t>scf/bbl</t>
  </si>
  <si>
    <t>API</t>
  </si>
  <si>
    <t>[deg API] API of the crude oil being produced. Heavy Venezuelan crude has an API of just over 10, and Bakken crude can be around 42.</t>
  </si>
  <si>
    <t>SG_oil</t>
  </si>
  <si>
    <t>141.5/(API+131.5)</t>
  </si>
  <si>
    <t>[dimensionless] Specific gravity of the crude oil, calculated from the API</t>
  </si>
  <si>
    <t>bbl_m3</t>
  </si>
  <si>
    <t>bbl/cu.m</t>
  </si>
  <si>
    <t>[Barrels per cubic meter] Conversion factor</t>
  </si>
  <si>
    <t>Density_oil</t>
  </si>
  <si>
    <t>SG_oil*1000/bbl_m3</t>
  </si>
  <si>
    <t>kg/bbl</t>
  </si>
  <si>
    <t>[Kg per barrel] Conversion of bbl of oil to kg</t>
  </si>
  <si>
    <t>Field_age</t>
  </si>
  <si>
    <t>[yrs] Age of the oil field</t>
  </si>
  <si>
    <t>Production_vol</t>
  </si>
  <si>
    <t>bbl/day</t>
  </si>
  <si>
    <t>[bbl/day] Production volume. For all wells in the field. U.S. productivity per well is lower than the world average</t>
  </si>
  <si>
    <t>WOR</t>
  </si>
  <si>
    <t>bbl water/bbl oil</t>
  </si>
  <si>
    <t>TDS</t>
  </si>
  <si>
    <t>mg/L</t>
  </si>
  <si>
    <t>[mg/L] Total dissolved solids in the produced water</t>
  </si>
  <si>
    <t>SG_water</t>
  </si>
  <si>
    <t>1+TDS*0.000000695</t>
  </si>
  <si>
    <t>[dimensionless] Specific gravity of the produced water</t>
  </si>
  <si>
    <t>res_depth</t>
  </si>
  <si>
    <t>ft</t>
  </si>
  <si>
    <t>[ft] Depth of the reservoir. See Figure 3.6. Min and Max represent one standard deviation from the median, which is lower than the mean.</t>
  </si>
  <si>
    <t>Well_diam</t>
  </si>
  <si>
    <t>[in] Diameter of the production tubing. API tubing can actually vary from 1.050 to 4.5 in (OD).</t>
  </si>
  <si>
    <t>press_grad</t>
  </si>
  <si>
    <t>Res_pressure</t>
  </si>
  <si>
    <t>press_grad*res_depth</t>
  </si>
  <si>
    <t>psi</t>
  </si>
  <si>
    <t>[psi] Pressure of the reservoir</t>
  </si>
  <si>
    <t>Well_head_press</t>
  </si>
  <si>
    <t>[psi] Pressure at the well head</t>
  </si>
  <si>
    <t>bbl_per_well</t>
  </si>
  <si>
    <t>bbl/well-day</t>
  </si>
  <si>
    <t>[bbl/well-d] The OPGEE default value is for non-US producers (183 bbl/well-d), which have a higher productivity. The default value here is for global production (82 bbl/well-d)</t>
  </si>
  <si>
    <t>Num_wells</t>
  </si>
  <si>
    <t>well-day</t>
  </si>
  <si>
    <t>[well-d] Number of production wells.</t>
  </si>
  <si>
    <t>Prod_index</t>
  </si>
  <si>
    <t>Productivity index</t>
  </si>
  <si>
    <t>SG_mix</t>
  </si>
  <si>
    <t>SG_oil/(1+WOR)+SG_water*WOR/(1+WOR)</t>
  </si>
  <si>
    <t>[dimensionless] Specific gravity of oil/water fluid in production tubing</t>
  </si>
  <si>
    <t>Head_elev</t>
  </si>
  <si>
    <t>res_depth*SG_mix/2.31</t>
  </si>
  <si>
    <t>Pressure traverse due to the elevation component. 2.31 is feet head of water per psi</t>
  </si>
  <si>
    <t>GOR</t>
  </si>
  <si>
    <t>[scf/bbl] Ratio of gas to oil. The relationship with API was developed for OPGEE.</t>
  </si>
  <si>
    <t>N2</t>
  </si>
  <si>
    <t>Adjustable parameter - mole fraction of nitrogen in associated gas stream</t>
  </si>
  <si>
    <t>CO2</t>
  </si>
  <si>
    <t>Adjustable parameter - mole fraction of carbon dioxide in associated natural gas stream</t>
  </si>
  <si>
    <t>C1</t>
  </si>
  <si>
    <t>Adjustable parameter - mole fraction of methane in associated natural gas stream</t>
  </si>
  <si>
    <t>C2</t>
  </si>
  <si>
    <t>Adjustable parameter - mole fraction of ethane in associated natural gas stream</t>
  </si>
  <si>
    <t>C3</t>
  </si>
  <si>
    <t>Adjustable parameter - mole fraction of propane in associated natural gas stream</t>
  </si>
  <si>
    <t>C4_plus</t>
  </si>
  <si>
    <t>Adjustable parameter - mole fraction of butane and higher hydrocarbons in associated natural gas stream</t>
  </si>
  <si>
    <t>H2S</t>
  </si>
  <si>
    <t>Adjustable parameter - mole fraction of hydrogen sulfide in associated natural gas stream</t>
  </si>
  <si>
    <t>N2_m</t>
  </si>
  <si>
    <t>[kg/mol] kg of nitrogen per mole of associated gas - 28.0134 is the molar mass in kg/kmol</t>
  </si>
  <si>
    <t>CO2_m</t>
  </si>
  <si>
    <t>[kg/mol] kg of carbon dioxide per mole of associated gas - 44.01 is the molar mass in kg/kmol</t>
  </si>
  <si>
    <t>C1_m</t>
  </si>
  <si>
    <t>[kg/mol] kg of methane per mole of associated gas - 16.04 is the molar mass in kg/kmol</t>
  </si>
  <si>
    <t>C2_m</t>
  </si>
  <si>
    <t>[kg/mol] kg of ethane per mole of associated gas - 30.07 is the molar mass in kg/kmol</t>
  </si>
  <si>
    <t>C3_m</t>
  </si>
  <si>
    <t>[kg/mol] kg of propane per mole of associated gas - 44.1 is the molar mass in kg/kmol</t>
  </si>
  <si>
    <t>C4_plus_m</t>
  </si>
  <si>
    <t>[kg/mol] kg of butane and higher hydrocarbons per mole of associated gas - 58.12 is the molar mass in kg/kmol</t>
  </si>
  <si>
    <t>H2S_m</t>
  </si>
  <si>
    <t>[kg/mol] kg of hydrogen sulfide per mole of associated gas - 34.0809 is the molar mass in kg/kmol</t>
  </si>
  <si>
    <t>gas_mass_sum</t>
  </si>
  <si>
    <t>[kg/mol] kg of associated gas per mole of associated gas</t>
  </si>
  <si>
    <t>N2_v</t>
  </si>
  <si>
    <t>[kg/mol] cubic feet of nitrogen per mole of associated gas - 849.294196139862 is the molar volume in ft^3/kmol</t>
  </si>
  <si>
    <t>CO2_v</t>
  </si>
  <si>
    <t>[kg/mol] cubic feet of carbon dioxide per mole of associated gas - 844.948546438776 is the molar volume in ft^3/kmol</t>
  </si>
  <si>
    <t>C1_v</t>
  </si>
  <si>
    <t>[kg/mol] cubic feet of methane per mole of associated gas - 847.769151669888 is the molar volume in ft^3/kmol</t>
  </si>
  <si>
    <t>C2_v</t>
  </si>
  <si>
    <t>[kg/mol] cubic feet of ethane per mole of associated gas - 842.671949141892 is the molar volume in ft^3/kmol</t>
  </si>
  <si>
    <t>C3_v</t>
  </si>
  <si>
    <t>[kg/mol] cubic feet of propane per mole of associated gas - 835.113018583843 is the molar volume in ft^3/kmol</t>
  </si>
  <si>
    <t>C4_plus_v</t>
  </si>
  <si>
    <t>[kg/mol] cubic feet of butane and higher hydrocarbons per mole of associated gas - 822.41763017876 is the molar volume in ft^3/kmol</t>
  </si>
  <si>
    <t>H2S_v</t>
  </si>
  <si>
    <t>[kg/mol] cubic feet of hydrogen sulfide per mole of associated gas - 842.647680875737 is the molar volume in ft^3/kmol</t>
  </si>
  <si>
    <t>gas_vol_sum</t>
  </si>
  <si>
    <t>[kg/mol] cubic feet of associated gas per mole of associated gas</t>
  </si>
  <si>
    <t>assoc_gas</t>
  </si>
  <si>
    <t>kg/day</t>
  </si>
  <si>
    <t>[kg/day] Mass of associated gas produced per day</t>
  </si>
  <si>
    <t>oil_mass_flow</t>
  </si>
  <si>
    <t>[kg/day] Mass of oil produced per day</t>
  </si>
  <si>
    <t>water_mass_flow</t>
  </si>
  <si>
    <t>[kg/day] Mass of water produced per day</t>
  </si>
  <si>
    <t>mix_flow</t>
  </si>
  <si>
    <t>[kg/day] Mass of oil/water/gas mixture produced per day</t>
  </si>
  <si>
    <t>inj_N2</t>
  </si>
  <si>
    <t>inj_CO2</t>
  </si>
  <si>
    <t>inj_C1</t>
  </si>
  <si>
    <t>inj_C2</t>
  </si>
  <si>
    <t>inj_C3</t>
  </si>
  <si>
    <t>inj_C4_plus</t>
  </si>
  <si>
    <t>inj_H2S</t>
  </si>
  <si>
    <t>Adjustable parameter - mole fraction of carbon dioxide in the injection gas</t>
  </si>
  <si>
    <t>Adjustable parameter - mole fraction of methane in the injection gas</t>
  </si>
  <si>
    <t>Adjustable parameter - mole fraction of ethane in the injection gas</t>
  </si>
  <si>
    <t>Adjustable parameter - mole fraction of propane in the injection gas</t>
  </si>
  <si>
    <t>Adjustable parameter - mole fraction of butane and higher hydrocarbons in the injection gas</t>
  </si>
  <si>
    <t>Adjustable parameter - mole fraction of hydrogen sulfide in the injection gas</t>
  </si>
  <si>
    <t>Adjustable parameter - mole fraction of nitrogen in the injection gas</t>
  </si>
  <si>
    <t>GLIR</t>
  </si>
  <si>
    <t>[scf/bbl] Gas lifting injection ratio - scf of gas per bbl of produced liquid</t>
  </si>
  <si>
    <t>inj_gas</t>
  </si>
  <si>
    <t>scf/day</t>
  </si>
  <si>
    <t>[scf/day] Gas lifting injection rate</t>
  </si>
  <si>
    <t>combined_gas</t>
  </si>
  <si>
    <t>[kg/day] Mass of combined injection and associated gas produced per day</t>
  </si>
  <si>
    <t>inj_N2_m</t>
  </si>
  <si>
    <t>inj_CO2_m</t>
  </si>
  <si>
    <t>inj_C1_m</t>
  </si>
  <si>
    <t>inj_C2_m</t>
  </si>
  <si>
    <t>inj_C3_m</t>
  </si>
  <si>
    <t>inj_C4_plus_m</t>
  </si>
  <si>
    <t>inj_H2S_m</t>
  </si>
  <si>
    <t>inj_N2_v</t>
  </si>
  <si>
    <t>inj_CO2_v</t>
  </si>
  <si>
    <t>inj_C1_v</t>
  </si>
  <si>
    <t>inj_C2_v</t>
  </si>
  <si>
    <t>inj_C3_v</t>
  </si>
  <si>
    <t>inj_C4_plus_v</t>
  </si>
  <si>
    <t>inj_H2S_v</t>
  </si>
  <si>
    <t>inj_gas_vol_sum</t>
  </si>
  <si>
    <t>[kg/mol] kg of nitrogen per mole of injection gas - 28.0134 is the molar mass in kg/kmol</t>
  </si>
  <si>
    <t>[kg/mol] kg of carbon dioxide per mole of injection gas - 44.01 is the molar mass in kg/kmol</t>
  </si>
  <si>
    <t>[kg/mol] kg of methane per mole of injection gas - 16.04 is the molar mass in kg/kmol</t>
  </si>
  <si>
    <t>[kg/mol] kg of ethane per mole of injection gas - 30.07 is the molar mass in kg/kmol</t>
  </si>
  <si>
    <t>[kg/mol] kg of propane per mole of injection gas - 44.1 is the molar mass in kg/kmol</t>
  </si>
  <si>
    <t>[kg/mol] kg of hydrogen sulfide per mole of injection gas - 34.0809 is the molar mass in kg/kmol</t>
  </si>
  <si>
    <t>[kg/mol] kg of associated gas per mole of injection gas</t>
  </si>
  <si>
    <t>[kg/mol] cubic feet of injection gas per mole of injection gas</t>
  </si>
  <si>
    <t>[kg/day] mass of injection gas per day</t>
  </si>
  <si>
    <t>Nitrogen</t>
  </si>
  <si>
    <t>Cp</t>
  </si>
  <si>
    <t>Carbon dioxide</t>
  </si>
  <si>
    <t>Methane</t>
  </si>
  <si>
    <t>Ethane</t>
  </si>
  <si>
    <t>Propane</t>
  </si>
  <si>
    <t>Butane</t>
  </si>
  <si>
    <t>btu/lbm-R</t>
  </si>
  <si>
    <t>Cv</t>
  </si>
  <si>
    <t>Cp/Cv</t>
  </si>
  <si>
    <t>F</t>
  </si>
  <si>
    <t>psia</t>
  </si>
  <si>
    <t>Gas Lift Petroleum Extraction</t>
  </si>
  <si>
    <t>Petroleum production by injecting gas into production tubing</t>
  </si>
  <si>
    <t>World</t>
  </si>
  <si>
    <t>N/A</t>
  </si>
  <si>
    <t>No</t>
  </si>
  <si>
    <t>disch_pressure</t>
  </si>
  <si>
    <t>inj_depth</t>
  </si>
  <si>
    <t>[dimensionless] Fraction of reservoir depth</t>
  </si>
  <si>
    <t>npsh</t>
  </si>
  <si>
    <t>dp</t>
  </si>
  <si>
    <t>[psi] Pressure difference across the compressor</t>
  </si>
  <si>
    <t>[psia] Pressure at the compressor inlet</t>
  </si>
  <si>
    <t>[psia] Required injection compressor discharge pressure</t>
  </si>
  <si>
    <t>num_stages</t>
  </si>
  <si>
    <t>[dimensionless] The number of stages in the compressor. Adjust this number until the pressure ratio is less than 5</t>
  </si>
  <si>
    <t>press_ratio</t>
  </si>
  <si>
    <t>stage1_in_T</t>
  </si>
  <si>
    <t>ratio_cp_cv</t>
  </si>
  <si>
    <t>stage2_in_T</t>
  </si>
  <si>
    <t>stage3_in_T</t>
  </si>
  <si>
    <t>stage4_in_T</t>
  </si>
  <si>
    <t>stage5_in_T</t>
  </si>
  <si>
    <t>comp_eff</t>
  </si>
  <si>
    <t>[Dimensionless] Compressor efficiency</t>
  </si>
  <si>
    <t>hp/MMscf/d</t>
  </si>
  <si>
    <t>bhp</t>
  </si>
  <si>
    <t>stage1_W</t>
  </si>
  <si>
    <t>stage2_W</t>
  </si>
  <si>
    <t>stage3_W</t>
  </si>
  <si>
    <t>stage4_W</t>
  </si>
  <si>
    <t>stage5_W</t>
  </si>
  <si>
    <t>Total_W</t>
  </si>
  <si>
    <t>brake_hp</t>
  </si>
  <si>
    <t>Supplemental worksheet: Drivers</t>
  </si>
  <si>
    <r>
      <t xml:space="preserve">This </t>
    </r>
    <r>
      <rPr>
        <sz val="12"/>
        <color theme="1"/>
        <rFont val="Helvetica"/>
        <family val="2"/>
      </rPr>
      <t>supplemental work</t>
    </r>
    <r>
      <rPr>
        <sz val="12"/>
        <color theme="1"/>
        <rFont val="Helvetica"/>
        <family val="2"/>
      </rPr>
      <t>sheet calculates</t>
    </r>
    <r>
      <rPr>
        <sz val="12"/>
        <color theme="1"/>
        <rFont val="Helvetica"/>
        <family val="2"/>
      </rPr>
      <t xml:space="preserve"> energy use for prime movers (engines) and motors used in processes.</t>
    </r>
  </si>
  <si>
    <t>1 Prime mover and motor data tables</t>
  </si>
  <si>
    <r>
      <t xml:space="preserve">Table </t>
    </r>
    <r>
      <rPr>
        <sz val="12"/>
        <color theme="1"/>
        <rFont val="Helvetica"/>
        <family val="2"/>
      </rPr>
      <t>1.</t>
    </r>
    <r>
      <rPr>
        <sz val="12"/>
        <color theme="1"/>
        <rFont val="Helvetica"/>
        <family val="2"/>
      </rPr>
      <t>1: Natural gas engines energy consumption</t>
    </r>
  </si>
  <si>
    <t>Engine model #</t>
  </si>
  <si>
    <t>G3304</t>
  </si>
  <si>
    <t>G3306</t>
  </si>
  <si>
    <t>G3408/TM9151-05</t>
  </si>
  <si>
    <t>G3408/TM8633-01</t>
  </si>
  <si>
    <t>G3408/TM9213-04</t>
  </si>
  <si>
    <t>G3412/DM8646-00</t>
  </si>
  <si>
    <t>G3412/DM5206-04</t>
  </si>
  <si>
    <t>G3512 LE/DM8619-01</t>
  </si>
  <si>
    <t>G3512 LE/DM8617-01</t>
  </si>
  <si>
    <t>G3516B/DM5490</t>
  </si>
  <si>
    <t>G3608/DM5047</t>
  </si>
  <si>
    <t>G3608/DM5046</t>
  </si>
  <si>
    <t>G3520C</t>
  </si>
  <si>
    <t>Energy consumption</t>
  </si>
  <si>
    <t>MJ LHV/bkW-hr</t>
  </si>
  <si>
    <t>Btu LHV/bhp-hr</t>
  </si>
  <si>
    <t>MJ HHV/bkW-hr</t>
  </si>
  <si>
    <t>100% Load</t>
  </si>
  <si>
    <t>75% Load</t>
  </si>
  <si>
    <t>NA</t>
  </si>
  <si>
    <t>50% Load</t>
  </si>
  <si>
    <t>Average (median)</t>
  </si>
  <si>
    <t>Source: Caterpillar technical data sheets (http://www.catoilandgasinfo.com/gas_compression.asp?src=11cpt22&amp;regstatus=true)</t>
  </si>
  <si>
    <t>Note(s):</t>
  </si>
  <si>
    <t>NA= Not available</t>
  </si>
  <si>
    <t>For G3516 to G3520 the energy consumption  of the engine is calculated from the given generator set efficiency</t>
  </si>
  <si>
    <r>
      <t xml:space="preserve">Table </t>
    </r>
    <r>
      <rPr>
        <sz val="12"/>
        <color theme="1"/>
        <rFont val="Helvetica"/>
        <family val="2"/>
      </rPr>
      <t>1.</t>
    </r>
    <r>
      <rPr>
        <sz val="12"/>
        <color theme="1"/>
        <rFont val="Helvetica"/>
        <family val="2"/>
      </rPr>
      <t>2: Natural gas turbines energy consumption</t>
    </r>
  </si>
  <si>
    <t>Saturn 20</t>
  </si>
  <si>
    <t>Centaur 40</t>
  </si>
  <si>
    <t>Centaur 50</t>
  </si>
  <si>
    <t>Taurus 60</t>
  </si>
  <si>
    <t>Taurus 70</t>
  </si>
  <si>
    <t>Mars 90</t>
  </si>
  <si>
    <t>Mars 100</t>
  </si>
  <si>
    <t>Titan 130</t>
  </si>
  <si>
    <t>MJ/bkW-hr</t>
  </si>
  <si>
    <t>Btu/bhp-hr</t>
  </si>
  <si>
    <r>
      <t>Average</t>
    </r>
    <r>
      <rPr>
        <sz val="12"/>
        <color theme="0" tint="-0.34998626667073579"/>
        <rFont val="Helvetuca"/>
      </rPr>
      <t xml:space="preserve"> (median)</t>
    </r>
  </si>
  <si>
    <t>Source: Solar Turbines (Caterpillar) technical data sheets (http://mysolar.cat.com/cda/layout?m=35881&amp;x=7)</t>
  </si>
  <si>
    <t xml:space="preserve">Notes: </t>
  </si>
  <si>
    <r>
      <t xml:space="preserve">Table </t>
    </r>
    <r>
      <rPr>
        <sz val="12"/>
        <color theme="1"/>
        <rFont val="Helvetica"/>
        <family val="2"/>
      </rPr>
      <t>1.</t>
    </r>
    <r>
      <rPr>
        <sz val="12"/>
        <color theme="1"/>
        <rFont val="Helvetica"/>
        <family val="2"/>
      </rPr>
      <t>3: Diesel engines energy consumption</t>
    </r>
  </si>
  <si>
    <t>3406C</t>
  </si>
  <si>
    <t>C18</t>
  </si>
  <si>
    <t>3412C</t>
  </si>
  <si>
    <t>3512B</t>
  </si>
  <si>
    <t>3512B-HD</t>
  </si>
  <si>
    <t>3516B</t>
  </si>
  <si>
    <t>C175-16</t>
  </si>
  <si>
    <t>Source: Caterpillar technical data sheets</t>
  </si>
  <si>
    <t>Notes:</t>
  </si>
  <si>
    <t>Table 1.4: Electric motors energy consumption</t>
  </si>
  <si>
    <t>841 IEC/N495</t>
  </si>
  <si>
    <t>841 IEC/N424</t>
  </si>
  <si>
    <t>841 IEC/N434</t>
  </si>
  <si>
    <t>841 IEC/N437</t>
  </si>
  <si>
    <t>841 IEC/N443</t>
  </si>
  <si>
    <t>841 IEC/N455</t>
  </si>
  <si>
    <t>841 IEC/N462</t>
  </si>
  <si>
    <t>841 IEC/N468</t>
  </si>
  <si>
    <t>Quantum-LMV</t>
  </si>
  <si>
    <t>Median (kWh/bhp-hr)</t>
  </si>
  <si>
    <t>Source: General Electric (GE) technical data sheets</t>
  </si>
  <si>
    <t>Notes: NA= Not available</t>
  </si>
  <si>
    <t>NG_engine</t>
  </si>
  <si>
    <t xml:space="preserve">[Btu/bhp-hr] NG engine prime mover fuel consumption. The default value can be changed to correspond with the appropriate engine size in the "Drivers" tab. Fuel consumption is based on the engine size, which is determined by the brake horsepower value. </t>
  </si>
  <si>
    <t>Elec_motor</t>
  </si>
  <si>
    <t>kWh/bhp-hr</t>
  </si>
  <si>
    <t xml:space="preserve">[kWh/bhp-hr] Electric motor prime mover fuel consumption. The default value can be changed to correspond with the appropriate engine size in the "Drivers" tab. Fuel consumption is based on the engine size, which is determined by the brake horsepower value. </t>
  </si>
  <si>
    <t>Diesel_engine</t>
  </si>
  <si>
    <t xml:space="preserve">[Btu/bhp-hr] Diesel engine prime mover fuel consumption. The default value can be changed to correspond with the appropriate engine size in the "Drivers" tab. Fuel consumption is based on the engine size, which is determined by the brake horsepower value. </t>
  </si>
  <si>
    <t>NG_turbine</t>
  </si>
  <si>
    <t xml:space="preserve">[Btu/bhp-hr] NG turbine prime mover fuel consumption. The default value can be changed to correspond with the appropriate engine size in the "Drivers" tab. Fuel consumption is based on the engine size, which is determined by the brake horsepower value. </t>
  </si>
  <si>
    <t>Prime_nge</t>
  </si>
  <si>
    <t>[dimensionless] Adjustable parameter - Select 1 to use as prime mover type, or enter fraction of pumps powered by natural gas engines</t>
  </si>
  <si>
    <t>Prime_elec</t>
  </si>
  <si>
    <t>[dimensionless] Adjustable parameter - Select 1 to use as prime mover type, or enter fraction of pumps powered by electric motors</t>
  </si>
  <si>
    <t>Prime_diesel</t>
  </si>
  <si>
    <t>[dimensionless] Adjustable parameter - Select 1 to use as prime mover type, or enter fraction of pumps powered by diesel engines</t>
  </si>
  <si>
    <t>Prime_ngt</t>
  </si>
  <si>
    <t>[dimensionless] Adjustable parameter - Select 1 to use as prime mover type, or enter fraction of pumps powered by natural gas turbines</t>
  </si>
  <si>
    <t>NG_fuel</t>
  </si>
  <si>
    <t>[dimensionless] Adjustable parameter - Select 1 to use natural gas fuel for NG engines and turbines</t>
  </si>
  <si>
    <t>NGL_fuel</t>
  </si>
  <si>
    <t>[dimensionless] Adjustable parameter - Select 1 to use NGL (butane or propane) fuel for NG engines and turbines</t>
  </si>
  <si>
    <t>MMbtu_to_MJ</t>
  </si>
  <si>
    <t>MJ/MMbtu</t>
  </si>
  <si>
    <t>[MJ/MMbtu] Conversion factor for million btu to MJ</t>
  </si>
  <si>
    <t>NGE_NG_fuel</t>
  </si>
  <si>
    <t>MJ/kg</t>
  </si>
  <si>
    <t>NGE_NGL_fuel</t>
  </si>
  <si>
    <t>Elec_fuel</t>
  </si>
  <si>
    <t>kWh/kg</t>
  </si>
  <si>
    <t>Diesel_fuel</t>
  </si>
  <si>
    <t>NGT_NG_fuel</t>
  </si>
  <si>
    <t>NGT_NGL_fuel</t>
  </si>
  <si>
    <t>[dimensionless] Ratio of outlet pressure to inlet pressure for each compression stage</t>
  </si>
  <si>
    <t>[dimensionless] Ratio of isobaric and isochoric heat capacities</t>
  </si>
  <si>
    <t>[ºF] Compressor stage 1 inlet temperature</t>
  </si>
  <si>
    <t>[ºF] Compressor stage 2 inlet temperature</t>
  </si>
  <si>
    <t>[ºF] Compressor stage 3 inlet temperature</t>
  </si>
  <si>
    <t>[ºF] Compressor stage 4 inlet temperature</t>
  </si>
  <si>
    <t>[ºF] Compressor stage 5 inlet temperature</t>
  </si>
  <si>
    <t>[hp/MMscf/d] Required power per millions scf per day of injection gas for Stage 1</t>
  </si>
  <si>
    <t>[hp/MMscf/d] Required power per millions scf per day of injection gas for Stage 2</t>
  </si>
  <si>
    <t>[hp/MMscf/d] Required power per millions scf per day of injection gas for Stage 3</t>
  </si>
  <si>
    <t>[hp/MMscf/d] Required power per millions scf per day of injection gas for Stage 4</t>
  </si>
  <si>
    <t>[hp/MMscf/d] Required power per millions scf per day of injection gas for Stage 5</t>
  </si>
  <si>
    <t>[hp/MMscf/d] Required power per millions scf per day of injection gas for total compressor</t>
  </si>
  <si>
    <t>[kg/day] Required brake horsepower for each well at the given injection rate</t>
  </si>
  <si>
    <t>[kWh/kg] Electricity used in a motor as the prime mover for all injection compressors to extract 1 kg of crude oil</t>
  </si>
  <si>
    <t>Electricity [Electric Power]</t>
  </si>
  <si>
    <t>MJ</t>
  </si>
  <si>
    <t>[Technosphere] Natural gas for pump prime mover</t>
  </si>
  <si>
    <t>[Technosphere] Natural gas liquids for pump prime mover</t>
  </si>
  <si>
    <t>[Technosphere] Electricity for pump prime mover</t>
  </si>
  <si>
    <t>1,2</t>
  </si>
  <si>
    <t>Oil Production Greenhouse Gas Emissions Estimator (OPGEE) v1.1 DRAFT A: User guide &amp; Technical documentation</t>
  </si>
  <si>
    <t>Produced Water Volumes and Management Practices in the Unites States.</t>
  </si>
  <si>
    <t>El-Houjeiri, H. M.</t>
  </si>
  <si>
    <t>NETL</t>
  </si>
  <si>
    <t>S. McNally
A. Brandt</t>
  </si>
  <si>
    <t>2013</t>
  </si>
  <si>
    <t>2009</t>
  </si>
  <si>
    <t xml:space="preserve">El-Houjeiri, H. M., McNally, S., &amp; Brandt, A. R. (2013). Oil Production Greenhouse Gas Emissions Estimator OPGEE v1.1 DRAFT A: User guide &amp; Technical documentation.   </t>
  </si>
  <si>
    <t>NETL. (2009). Produced Water Volumes and Management Practices in the Unites States. Prepared by C.E. Clark and J.A. Veil, Argonne National Laboratory  Retrieved July 8, 2013, from http://www.netl.doe.gov/technologies/coalpower/ewr/water/pdfs/anl%20produced%20water%20volumes%20sep09.pdf</t>
  </si>
  <si>
    <t>This user guide and technical documentation contains a full description of the process, equations for energy use, and citation of all sources used to build the model.</t>
  </si>
  <si>
    <t>Information on produced water volumes, ratios, and disposal.</t>
  </si>
  <si>
    <t>(Production_vol+WOR*Production_vol)*GLIR</t>
  </si>
  <si>
    <t>[bbl water/bbl oil] Water cut, the ratio of water to oil. A relationship with field age was developed for OPGEE (1.706*EXP(0.036*Field_age)-1.706), which might be low for U.S. fields. The default value is the average of U.S. onshore and offshore from 2007.</t>
  </si>
  <si>
    <t>Fluid properties at:</t>
  </si>
  <si>
    <t>0.24931</t>
  </si>
  <si>
    <t>0.21821</t>
  </si>
  <si>
    <t>0.57773</t>
  </si>
  <si>
    <t>0.48635</t>
  </si>
  <si>
    <t>0.47445</t>
  </si>
  <si>
    <t>0.48085</t>
  </si>
  <si>
    <t>0.24730</t>
  </si>
  <si>
    <t>0.17812</t>
  </si>
  <si>
    <t>0.17234</t>
  </si>
  <si>
    <t>0.45298</t>
  </si>
  <si>
    <t>0.41875</t>
  </si>
  <si>
    <t>0.42728</t>
  </si>
  <si>
    <t>0.44355</t>
  </si>
  <si>
    <t>0.18771</t>
  </si>
  <si>
    <t>IF(API&lt;20;227;IF(API&gt;=20 and API&lt;=30;908;1297))</t>
  </si>
  <si>
    <r>
      <t xml:space="preserve">This unit process provides a summary of relevant input and output flows associated with petroleum extraction using gas lift. Gas lift involves injecting gas into the production tubing to lower the specific gravity of the produced crude/water/gas mixture. This unit process determines the amount of compressed gas that is needed with electricity or fuel needs provided by the upstream compression process </t>
    </r>
    <r>
      <rPr>
        <b/>
        <sz val="9"/>
        <color rgb="FF000000"/>
        <rFont val="Arial"/>
        <family val="2"/>
      </rPr>
      <t>OR</t>
    </r>
    <r>
      <rPr>
        <sz val="9"/>
        <color rgb="FF000000"/>
        <rFont val="Arial"/>
        <family val="2"/>
      </rPr>
      <t xml:space="preserve"> this unit process calculates the fuel or electricity needs to power the multi-stage compressor that injects the gas into the production tubing.</t>
    </r>
  </si>
  <si>
    <t>LPG, combusted in engine [Natural gas products]</t>
  </si>
  <si>
    <t>LPG, combusted in turbine [Natural gas products]</t>
  </si>
  <si>
    <t>Natural gas, combusted in engine [Natural gas products]</t>
  </si>
  <si>
    <t>Natural gas, combusted in turbine [Natural gas products]</t>
  </si>
  <si>
    <t>Thermal Energy from Diesel Combusted in Industrial Equipment [Valuable substances]</t>
  </si>
  <si>
    <t>inj_N2*28.0134</t>
  </si>
  <si>
    <t>inj_CO2*44.01</t>
  </si>
  <si>
    <t>inj_C1*16.04</t>
  </si>
  <si>
    <t>inj_C2*30.07</t>
  </si>
  <si>
    <t>inj_C3*44.1</t>
  </si>
  <si>
    <t>inj_C4_plus*58.12</t>
  </si>
  <si>
    <t>inj_H2S*34.0809</t>
  </si>
  <si>
    <t>inj_N2_m+inj_CO2_m+inj_C1_m+inj_C2_m+inj_C3_m+inj_C4_plus_m+inj_H2S_m</t>
  </si>
  <si>
    <t>inj_N2*849.294196139862</t>
  </si>
  <si>
    <t>inj_CO2*844.948546438776</t>
  </si>
  <si>
    <t>inj_C1*847.769151669888</t>
  </si>
  <si>
    <t>inj_C2*842.671949141892</t>
  </si>
  <si>
    <t>inj_C3*835.113018583843</t>
  </si>
  <si>
    <t>inj_C4_plus*822.41763017876</t>
  </si>
  <si>
    <t>inj_H2S*842.647680875737</t>
  </si>
  <si>
    <t>inj_N2_v+inj_CO2_v+inj_C1_v+inj_C2_v+inj_C3_v+inj_C4_plus_v+inj_H2S_v</t>
  </si>
  <si>
    <t>N2*28.0134</t>
  </si>
  <si>
    <t>CO2*44.01</t>
  </si>
  <si>
    <t>C1*16.04</t>
  </si>
  <si>
    <t>C2*30.07</t>
  </si>
  <si>
    <t>C3*44.1</t>
  </si>
  <si>
    <t>C4_plus*58.12</t>
  </si>
  <si>
    <t>H2S*34.0809</t>
  </si>
  <si>
    <t>N2_m+CO2_m+C1_m+C2_m+C3_m+C4_plus_m+H2S_m</t>
  </si>
  <si>
    <t>N2*849.294196139862</t>
  </si>
  <si>
    <t>CO2*844.948546438776</t>
  </si>
  <si>
    <t>C1*847.769151669888</t>
  </si>
  <si>
    <t>C2*842.671949141892</t>
  </si>
  <si>
    <t>C3*835.113018583843</t>
  </si>
  <si>
    <t>C4_plus*822.41763017876</t>
  </si>
  <si>
    <t>H2S*842.647680875737</t>
  </si>
  <si>
    <t>N2_v+CO2_v+C1_v+C2_v+C3_v+C4_plus_v+H2S_v</t>
  </si>
  <si>
    <t>GOR*gas_mass_sum/gas_vol_sum*Production_vol</t>
  </si>
  <si>
    <t>Density_oil*Production_vol</t>
  </si>
  <si>
    <t>WOR*Production_vol*SG_water*1000/bbl_m3</t>
  </si>
  <si>
    <t>combined_gas+oil_mass_flow+water_mass_flow</t>
  </si>
  <si>
    <t>inj_depth*Res_pressure+14.7</t>
  </si>
  <si>
    <t>disch_pressure-npsh</t>
  </si>
  <si>
    <t>(dp/npsh)^(1/num_stages)</t>
  </si>
  <si>
    <t>(1*(1*(1*(1*(stage1_in_T+460)*(press_ratio^(1*(ratio_cp_cv-1)/ratio_cp_cv)))-460)-stage1_in_T)*0.2+stage1_in_T)*IF(num_stages-1&lt;=0;0;1)</t>
  </si>
  <si>
    <t>(1*(1*(1*(1*(stage2_in_T+460)*(press_ratio^(1*(ratio_cp_cv-1)/ratio_cp_cv)))-460)-stage2_in_T)*0.2+stage2_in_T)*IF(num_stages-1&lt;=0;0;1)</t>
  </si>
  <si>
    <t>(1*(1*(1*(1*(stage3_in_T+460)*(press_ratio^(1*(ratio_cp_cv-1)/ratio_cp_cv)))-460)-stage3_in_T)*0.2+stage3_in_T)*IF(num_stages-1&lt;=0;0;1)</t>
  </si>
  <si>
    <t>(1*(1*(1*(1*(stage4_in_T+460)*(press_ratio^(1*(ratio_cp_cv-1)/ratio_cp_cv)))-460)-stage4_in_T)*0.2+stage4_in_T)*IF(num_stages-1&lt;=0;0;1)</t>
  </si>
  <si>
    <t>(1*(ratio_cp_cv/(ratio_cp_cv-1))*(3.027*14.7/(60+460))*(stage1_in_T+460)*(press_ratio^(1*(ratio_cp_cv-1)/ratio_cp_cv)-1))*IF(stage1_in_T&lt;&gt;0;1;0)</t>
  </si>
  <si>
    <t>(1*(ratio_cp_cv/(ratio_cp_cv-1))*(3.027*14.7/(60+460))*(stage2_in_T+460)*(press_ratio^(1*(ratio_cp_cv-1)/ratio_cp_cv)-1))*IF(stage2_in_T&lt;&gt;0;1;0)</t>
  </si>
  <si>
    <t>(1*(ratio_cp_cv/(ratio_cp_cv-1))*(3.027*14.7/(60+460))*(stage3_in_T+460)*(press_ratio^(1*(ratio_cp_cv-1)/ratio_cp_cv)-1))*IF(stage3_in_T&lt;&gt;0;1;0)</t>
  </si>
  <si>
    <t>(1*(ratio_cp_cv/(ratio_cp_cv-1))*(3.027*14.7/(60+460))*(stage4_in_T+460)*(press_ratio^(1*(ratio_cp_cv-1)/ratio_cp_cv)-1))*IF(stage4_in_T&lt;&gt;0;1;0)</t>
  </si>
  <si>
    <t>(1*(ratio_cp_cv/(ratio_cp_cv-1))*(3.027*14.7/(60+460))*(stage5_in_T+460)*(press_ratio^(1*(ratio_cp_cv-1)/ratio_cp_cv)-1))*IF(stage5_in_T&lt;&gt;0;1;0)</t>
  </si>
  <si>
    <t>stage5_W+stage4_W+stage3_W+stage2_W+stage1_W</t>
  </si>
  <si>
    <t>Total_W*(inj_gas/Num_wells/10^6)/comp_eff</t>
  </si>
  <si>
    <t>Prime_nge*NG_fuel*NG_engine*brake_hp/1000000*24*Num_wells/mix_flow*MMbtu_to_MJ</t>
  </si>
  <si>
    <t>Prime_nge*NGL_fuel*NG_engine*brake_hp/1000000*24*Num_wells/mix_flow*MMbtu_to_MJ</t>
  </si>
  <si>
    <t>Prime_elec*Elec_motor*brake_hp*24*Num_wells/mix_flow</t>
  </si>
  <si>
    <t>Prime_diesel*Diesel_engine*brake_hp/1000000*24*Num_wells/mix_flow*MMbtu_to_MJ</t>
  </si>
  <si>
    <t>Prime_ngt*NG_fuel*NG_turbine*brake_hp/1000000*24*Num_wells/mix_flow*MMbtu_to_MJ</t>
  </si>
  <si>
    <t>Prime_ngt*NGL_fuel*NG_turbine*brake_hp/1000000*24*Num_wells/mix_flow*MMbtu_to_MJ</t>
  </si>
  <si>
    <t>GaBi 5 Import</t>
  </si>
  <si>
    <t>Data Summary page formatted for importation into the GaBi 5</t>
  </si>
  <si>
    <t>if(API&lt;20;227;if(API&gt;=20 and API&lt;=30;908;1297))</t>
  </si>
  <si>
    <t>(1*(1*(1*(1*(stage1_in_T+460)*(press_ratio^(1*(ratio_cp_cv-1)/ratio_cp_cv)))-460)-stage1_in_T)*0.2+stage1_in_T)*if(num_stages-1&lt;=0;0;1)</t>
  </si>
  <si>
    <t>(1*(ratio_cp_cv/(ratio_cp_cv-1))*(3.027*14.7/(60+460))*(stage1_in_T+460)*(press_ratio^(1*(ratio_cp_cv-1)/ratio_cp_cv)-1))*if(stage1_in_T&lt;&gt;0;1;0)</t>
  </si>
  <si>
    <t>(1*(ratio_cp_cv/(ratio_cp_cv-1))*(3.027*14.7/(60+460))*(stage2_in_T+460)*(press_ratio^(1*(ratio_cp_cv-1)/ratio_cp_cv)-1))*if(stage2_in_T&lt;&gt;0;1;0)</t>
  </si>
  <si>
    <t>(1*(ratio_cp_cv/(ratio_cp_cv-1))*(3.027*14.7/(60+460))*(stage3_in_T+460)*(press_ratio^(1*(ratio_cp_cv-1)/ratio_cp_cv)-1))*if(stage3_in_T&lt;&gt;0;1;0)</t>
  </si>
  <si>
    <t>(1*(ratio_cp_cv/(ratio_cp_cv-1))*(3.027*14.7/(60+460))*(stage4_in_T+460)*(press_ratio^(1*(ratio_cp_cv-1)/ratio_cp_cv)-1))*if(stage4_in_T&lt;&gt;0;1;0)</t>
  </si>
  <si>
    <t>(1*(ratio_cp_cv/(ratio_cp_cv-1))*(3.027*14.7/(60+460))*(stage5_in_T+460)*(press_ratio^(1*(ratio_cp_cv-1)/ratio_cp_cv)-1))*if(stage5_in_T&lt;&gt;0;1;0)</t>
  </si>
  <si>
    <t>injgas_mass_sum</t>
  </si>
  <si>
    <t>inj_gas_mass</t>
  </si>
  <si>
    <t>inj_gas*injgas_mass_sum/inj_gas_vol_sum</t>
  </si>
  <si>
    <t>assoc_gas+inj_gas_mass</t>
  </si>
  <si>
    <t>GaBi 4 Import</t>
  </si>
  <si>
    <t>Data Summary page formatted for importation into the GaBi 4</t>
  </si>
  <si>
    <t>[deg API] API of the crude oil being produced. Heavy Venezuelan crude has an API of just over 10, an</t>
  </si>
  <si>
    <t>[bbl/day] Production volume. For all wells in the field. U.S. productivity per well is lower than th</t>
  </si>
  <si>
    <t>[bbl water/bbl oil] Water cut, the ratio of water to oil. A relationship with field age was develope</t>
  </si>
  <si>
    <t>[ft] Depth of the reservoir. See Figure 3.6. Min and Max represent one standard deviation from the m</t>
  </si>
  <si>
    <t>[psi/ft] The pressure gradient of the formation. The default assumes that a field started at hydrost</t>
  </si>
  <si>
    <t>[bbl/well-d] The OPGEE default value is for non-US producers (183 bbl/well-d), which have a higher p</t>
  </si>
  <si>
    <t>[kg/mol] kg of butane and higher hydrocarbons per mole of injection gas - 58.12 is the molar mass in</t>
  </si>
  <si>
    <t xml:space="preserve">[kg/mol] cubic feet of nitrogen per mole of injection gas - 849.294196139862 is the molar volume in </t>
  </si>
  <si>
    <t>[kg/mol] cubic feet of carbon dioxide per mole of injection gas - 844.948546438776 is the molar volu</t>
  </si>
  <si>
    <t>[kg/mol] cubic feet of methane per mole of injection gas - 847.769151669888 is the molar volume in f</t>
  </si>
  <si>
    <t>[kg/mol] cubic feet of ethane per mole of injection gas - 842.671949141892 is the molar volume in ft</t>
  </si>
  <si>
    <t>[kg/mol] cubic feet of propane per mole of injection gas - 835.113018583843 is the molar volume in f</t>
  </si>
  <si>
    <t>[kg/mol] cubic feet of butane and higher hydrocarbons per mole of injection gas - 822.41763017876 is</t>
  </si>
  <si>
    <t>[kg/mol] cubic feet of hydrogen sulfide per mole of injection gas - 842.647680875737 is the molar vo</t>
  </si>
  <si>
    <t>Adjustable parameter - mole fraction of butane and higher hydrocarbons in associated natural gas str</t>
  </si>
  <si>
    <t>[kg/mol] kg of butane and higher hydrocarbons per mole of associated gas - 58.12 is the molar mass i</t>
  </si>
  <si>
    <t>[kg/mol] cubic feet of nitrogen per mole of associated gas - 849.294196139862 is the molar volume in</t>
  </si>
  <si>
    <t>[kg/mol] cubic feet of carbon dioxide per mole of associated gas - 844.948546438776 is the molar vol</t>
  </si>
  <si>
    <t xml:space="preserve">[kg/mol] cubic feet of methane per mole of associated gas - 847.769151669888 is the molar volume in </t>
  </si>
  <si>
    <t>[kg/mol] cubic feet of ethane per mole of associated gas - 842.671949141892 is the molar volume in f</t>
  </si>
  <si>
    <t xml:space="preserve">[kg/mol] cubic feet of propane per mole of associated gas - 835.113018583843 is the molar volume in </t>
  </si>
  <si>
    <t>[kg/mol] cubic feet of butane and higher hydrocarbons per mole of associated gas - 822.41763017876 i</t>
  </si>
  <si>
    <t>[kg/mol] cubic feet of hydrogen sulfide per mole of associated gas - 842.647680875737 is the molar v</t>
  </si>
  <si>
    <t xml:space="preserve">[dimensionless] The number of stages in the compressor. Adjust this number until the pressure ratio </t>
  </si>
  <si>
    <t xml:space="preserve">[Btu/bhp-hr] NG engine prime mover fuel consumption. The default value can be changed to correspond </t>
  </si>
  <si>
    <t>[kWh/bhp-hr] Electric motor prime mover fuel consumption. The default value can be changed to corres</t>
  </si>
  <si>
    <t>[Btu/bhp-hr] Diesel engine prime mover fuel consumption. The default value can be changed to corresp</t>
  </si>
  <si>
    <t>[Btu/bhp-hr] NG turbine prime mover fuel consumption. The default value can be changed to correspond</t>
  </si>
  <si>
    <t>[dimensionless] Adjustable parameter - Select 1 to use as prime mover type, or enter fraction of pum</t>
  </si>
  <si>
    <t>[dimensionless] Adjustable parameter - Select 1 to use NGL (butane or propane) fuel for NG engines a</t>
  </si>
  <si>
    <t xml:space="preserve">[MMBtu/kg] Natural gas fuel burned in an engine as the prime mover for all injection compressors to </t>
  </si>
  <si>
    <t xml:space="preserve">[MMBtu/kg] NGL fuel burned in an engine as the prime mover for all injection compressors to extract </t>
  </si>
  <si>
    <t>[kWh/kg] Electricity used in a motor as the prime mover for all injection compressors to extract 1 k</t>
  </si>
  <si>
    <t>[MMBtu/kg] Diesel fuel burned in a turbine as the prime mover for all injection compressors to extra</t>
  </si>
  <si>
    <t xml:space="preserve">[MMBtu/kg] Natural gas fuel burned in a turbine as the prime mover for all injection compressors to </t>
  </si>
  <si>
    <t xml:space="preserve">[MMBtu/kg] NGL fuel burned in a turbine as the prime mover for all injection compressors to extract </t>
  </si>
  <si>
    <t>round(Production_vol/bbl_per_well;1)</t>
  </si>
  <si>
    <t>(1*(1*(1*(1*(stage2_in_T+460)*(press_ratio^(1*(ratio_cp_cv-1)/ratio_cp_cv)))-460)-stage2_in_T)*0.2+stage2_in_T)*if(num_stages-2&lt;=0;0;1)</t>
  </si>
  <si>
    <t>(1*(1*(1*(1*(stage3_in_T+460)*(press_ratio^(1*(ratio_cp_cv-1)/ratio_cp_cv)))-460)-stage3_in_T)*0.2+stage3_in_T)*if(num_stages-3&lt;=0;0;1)</t>
  </si>
  <si>
    <t>(1*(1*(1*(1*(stage4_in_T+460)*(press_ratio^(1*(ratio_cp_cv-1)/ratio_cp_cv)))-460)-stage4_in_T)*0.2+stage4_in_T)*if(num_stages-4&lt;=0;0;1)</t>
  </si>
  <si>
    <t>Raw Petroleum Mixture</t>
  </si>
  <si>
    <t>This unit process is composed of this document and the file, DF_Stage1_O_Petroleum_Gas_Lift_2013.01.docx, which provides additional details regarding calculations, data quality, and references as relevant.</t>
  </si>
  <si>
    <t>[scf/bbl] Ratio of gas to oil. Leave as 0 if the value is not known and a relationship developed by OPGEE will be used.</t>
  </si>
  <si>
    <t>extra_pressure</t>
  </si>
  <si>
    <t>[psi] Additional pressure for injected gas</t>
  </si>
  <si>
    <t>inj_depth*Res_pressure+extra_pressure+14.7</t>
  </si>
  <si>
    <t>C</t>
  </si>
  <si>
    <t>R</t>
  </si>
  <si>
    <t>atm</t>
  </si>
  <si>
    <t>psf</t>
  </si>
  <si>
    <t>lbm</t>
  </si>
  <si>
    <t>ft-lb/lbm-R</t>
  </si>
  <si>
    <t>BTU/lbm-R</t>
  </si>
  <si>
    <t>inj_gas_R</t>
  </si>
  <si>
    <t>inj_gas_sp_vol</t>
  </si>
  <si>
    <t>ft^3/kg</t>
  </si>
  <si>
    <t>[ft^3/kg] specific volume of associated gas; 527.67 is Rankine equivalent of 20C, 2116.2168 is 1 atm is psf; 0.45359 is 1 kg in lbm</t>
  </si>
  <si>
    <t>lbm/lbmol</t>
  </si>
  <si>
    <t>ft-lb/lbmol-R</t>
  </si>
  <si>
    <t>[lbm/lbmol] lbm of nitrogen per lb-lb-mole of associated gas - 28.0134 is the molar mass in lbm/lbmol</t>
  </si>
  <si>
    <t>[lbm/lbmol] lbm of carbon dioxide per lb-mole of associated gas - 44.01 is the molar mass in lbm/lbmol</t>
  </si>
  <si>
    <t>[lbm/lbmol] lbm of methane per lb-mole of associated gas - 16.04 is the molar mass in lbm/lbmol</t>
  </si>
  <si>
    <t>[lbm/lbmol] lbm of ethane per lb-mole of associated gas - 30.07 is the molar mass in lbm/lbmol</t>
  </si>
  <si>
    <t>[lbm/lbmol] lbm of propane per lb-mole of associated gas - 44.1 is the molar mass in lbm/lbmol</t>
  </si>
  <si>
    <t>[lbm/lbmol] lbm of butane and higher hydrocarbons per lb-mole of associated gas - 58.12 is the molar mass in lbm/lbmol</t>
  </si>
  <si>
    <t>[lbm/lbmol] lbm of hydrogen sulfide per lb-mole of associated gas - 34.0809 is the molar mass in lbm/lbmol</t>
  </si>
  <si>
    <t>[lbm/lbmol] lbm of associated gas per lb-mole of associated gas</t>
  </si>
  <si>
    <t>[ft-lb/lbmol-R] weighted individual gas constant for nitrogen - 55.4297838649016 is the gas constant for nitrogen in ft-lbf/lbm-R</t>
  </si>
  <si>
    <t>[ft-lb/lbmol-R] weighted individual gas constant for carbon dioxide - 35.9848454350119 is the gas constant for carbon dioxide in ft-lbf/lbm-R</t>
  </si>
  <si>
    <t>[ft-lb/lbmol-R] weighted individual gas constant for methane - 97.2618646564833 is the gas constant for methane in ft-lbf/lbm-R</t>
  </si>
  <si>
    <t>[ft-lb/lbmol-R] weighted individual gas constant for ethane - 53.1566850597252 is the gas constant for ethane in ft-lbf/lbm-R</t>
  </si>
  <si>
    <t>[ft-lb/lbmol-R] weighted individual gas constant for propane - 37.6557496262249 is the gas constant for propane in ft-lbf/lbm-R</t>
  </si>
  <si>
    <t>[ft-lb/lbmol-R] weighted individual gas constant for butane - 30.9461121064484 is the gas constant for butane in ft-lbf/lbm-R</t>
  </si>
  <si>
    <t>[ft-lb/lbmol-R] weighted individual gas constant for hydrogen sulfide - 46.9470177595664 is the gas constant for hydrogen sulfide in ft-lbf/lbm-R</t>
  </si>
  <si>
    <t>[ft-lb/lbmol-R] gas constant for the mix</t>
  </si>
  <si>
    <t>inj_N2_R</t>
  </si>
  <si>
    <t>inj_CO2_R</t>
  </si>
  <si>
    <t>inj_C1_R</t>
  </si>
  <si>
    <t>inj_C2_R</t>
  </si>
  <si>
    <t>inj_C3_R</t>
  </si>
  <si>
    <t>inj_C4_plus_R</t>
  </si>
  <si>
    <t>inj_H2S_R</t>
  </si>
  <si>
    <t>N2_R</t>
  </si>
  <si>
    <t>CO2_R</t>
  </si>
  <si>
    <t>C1_R</t>
  </si>
  <si>
    <t>C2_R</t>
  </si>
  <si>
    <t>C3_R</t>
  </si>
  <si>
    <t>C4_plus_R</t>
  </si>
  <si>
    <t>H2S_R</t>
  </si>
  <si>
    <t>gas_R</t>
  </si>
  <si>
    <t>gas_sp_vol</t>
  </si>
  <si>
    <t>lb-ft</t>
  </si>
  <si>
    <t>hp-day</t>
  </si>
  <si>
    <t>inj_gas_R_alt</t>
  </si>
  <si>
    <t>inj_gas_dens</t>
  </si>
  <si>
    <t>lbm/MMscf</t>
  </si>
  <si>
    <t>hp-day/lbm-R</t>
  </si>
  <si>
    <t>[hp-day/lbm-R] weighted individual gas constant for the injection gas mix</t>
  </si>
  <si>
    <t>[lbm/MMscf] Density of the injection mix at STP, calculated using ideal gas law</t>
  </si>
  <si>
    <t>ratio_cp_cv/(ratio_cp_cv-1)*inj_gas_R_alt*inj_gas_dens*(stage1_in_T+460)*(press_ratio^((ratio_cp_cv-1)/ratio_cp_cv)-1)*IF(num_stages-0&lt;=0;0;1)</t>
  </si>
  <si>
    <t>ratio_cp_cv/(ratio_cp_cv-1)*inj_gas_R_alt*inj_gas_dens*(stage2_in_T+460)*(press_ratio^((ratio_cp_cv-1)/ratio_cp_cv)-1)*IF(num_stages-1&lt;=0;0;1)</t>
  </si>
  <si>
    <t>ratio_cp_cv/(ratio_cp_cv-1)*inj_gas_R_alt*inj_gas_dens*(stage3_in_T+460)*(press_ratio^((ratio_cp_cv-1)/ratio_cp_cv)-1)*IF(num_stages-2&lt;=0;0;1)</t>
  </si>
  <si>
    <t>ratio_cp_cv/(ratio_cp_cv-1)*inj_gas_R_alt*inj_gas_dens*(stage4_in_T+460)*(press_ratio^((ratio_cp_cv-1)/ratio_cp_cv)-1)*IF(num_stages-3&lt;=0;0;1)</t>
  </si>
  <si>
    <t>ratio_cp_cv/(ratio_cp_cv-1)*inj_gas_R_alt*inj_gas_dens*(stage5_in_T+460)*(press_ratio^((ratio_cp_cv-1)/ratio_cp_cv)-1)*IF(num_stages-4&lt;=0;0;1)</t>
  </si>
  <si>
    <t>[MJ/kg] Natural gas fuel burned in an engine as the prime mover for all injection compressors to extract 1 kg of crude oil</t>
  </si>
  <si>
    <t>[MJ/kg] NGL fuel burned in an engine as the prime mover for all injection compressors to extract 1 kg of crude oil</t>
  </si>
  <si>
    <t>[MJ/kg] Diesel fuel burned in a turbine as the prime mover for all injection compressors to extract 1 kg of crude oil</t>
  </si>
  <si>
    <t>[MJ/kg] Natural gas fuel burned in a turbine as the prime mover for all injection compressors to extract 1 kg of crude oil</t>
  </si>
  <si>
    <t>[MJ/kg] NGL fuel burned in a turbine as the prime mover for all injection compressors to extract 1 kg of crude oil</t>
  </si>
  <si>
    <t>0.26028</t>
  </si>
  <si>
    <t>0.26860</t>
  </si>
  <si>
    <t>0.65725</t>
  </si>
  <si>
    <t>0.63452</t>
  </si>
  <si>
    <t>0.90346</t>
  </si>
  <si>
    <t>0.82340</t>
  </si>
  <si>
    <t>0.35052</t>
  </si>
  <si>
    <t>0.18065</t>
  </si>
  <si>
    <t>0.19206</t>
  </si>
  <si>
    <t>0.50091</t>
  </si>
  <si>
    <t>0.48747</t>
  </si>
  <si>
    <t>0.52445</t>
  </si>
  <si>
    <t>0.53012</t>
  </si>
  <si>
    <t>0.21338</t>
  </si>
  <si>
    <t>0.24853</t>
  </si>
  <si>
    <t>0.17754</t>
  </si>
  <si>
    <t>0.20070</t>
  </si>
  <si>
    <t>0.15539</t>
  </si>
  <si>
    <t>0.52949</t>
  </si>
  <si>
    <t>0.40544</t>
  </si>
  <si>
    <t>0.41267</t>
  </si>
  <si>
    <t>0.34627</t>
  </si>
  <si>
    <t>0.39422</t>
  </si>
  <si>
    <t>0.34870</t>
  </si>
  <si>
    <t>0.40106</t>
  </si>
  <si>
    <t>0.36614</t>
  </si>
  <si>
    <t>0.23929</t>
  </si>
  <si>
    <t>0.18068</t>
  </si>
  <si>
    <r>
      <t xml:space="preserve">Note: All inputs and outputs are normalized per the reference flow (e.g., per </t>
    </r>
    <r>
      <rPr>
        <b/>
        <sz val="10"/>
        <color indexed="8"/>
        <rFont val="Arial"/>
        <family val="2"/>
      </rPr>
      <t xml:space="preserve">kg </t>
    </r>
    <r>
      <rPr>
        <sz val="10"/>
        <color indexed="8"/>
        <rFont val="Arial"/>
        <family val="2"/>
      </rPr>
      <t>of Raw Petroleum Mixture)</t>
    </r>
  </si>
  <si>
    <t>GOR_UI</t>
  </si>
  <si>
    <t>IF(GOR_UI&gt;0;GOR_UI;IF(API&lt;20;227;IF(AND(API&gt;=20;API&lt;=30);908;1297)))</t>
  </si>
  <si>
    <t>Energy Calculations</t>
  </si>
  <si>
    <t>Calculations Sheet</t>
  </si>
  <si>
    <t>Thermophysical Properties of Fluid Systems</t>
  </si>
  <si>
    <t>NIST</t>
  </si>
  <si>
    <t>http://webbook.nist.gov/chemistry/fluid/</t>
  </si>
  <si>
    <t>October 23, 2013</t>
  </si>
  <si>
    <t>NIST (2013). Thermophysical Properties of Fluid Systems. Accessed on October 23, 2013 from http://webbook.nist.gov/chemistry/fluid/</t>
  </si>
  <si>
    <t>Properties of gases from the NIST WebBook</t>
  </si>
  <si>
    <t>Drivers</t>
  </si>
  <si>
    <t>Information on engine fuel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</si>
</sst>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3" formatCode="_(* #,##0.00_);_(* \(#,##0.00\);_(* &quot;-&quot;??_);_(@_)"/>
    <numFmt numFmtId="164" formatCode="0.0000"/>
    <numFmt numFmtId="165" formatCode="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
    <numFmt numFmtId="174" formatCode="#,##0.0"/>
    <numFmt numFmtId="175" formatCode="0.00000"/>
    <numFmt numFmtId="176" formatCode="0.0"/>
  </numFmts>
  <fonts count="75">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1"/>
      <name val="Helvetica"/>
      <family val="2"/>
    </font>
    <font>
      <sz val="12"/>
      <color theme="1"/>
      <name val="Helvetica"/>
      <family val="2"/>
    </font>
    <font>
      <sz val="12"/>
      <color theme="1"/>
      <name val="Helvetica"/>
    </font>
    <font>
      <sz val="10"/>
      <color theme="0"/>
      <name val="Helvetica"/>
    </font>
    <font>
      <sz val="10"/>
      <name val="Helvetica"/>
    </font>
    <font>
      <sz val="12"/>
      <color rgb="FFFF0000"/>
      <name val="Helvetica"/>
    </font>
    <font>
      <sz val="10"/>
      <color theme="1"/>
      <name val="Helvetica"/>
    </font>
    <font>
      <sz val="12"/>
      <color rgb="FFFF6600"/>
      <name val="Helvetica"/>
    </font>
    <font>
      <sz val="12"/>
      <color rgb="FF660066"/>
      <name val="Helvetica"/>
    </font>
    <font>
      <b/>
      <sz val="12"/>
      <color theme="0"/>
      <name val="Helvetica"/>
    </font>
    <font>
      <b/>
      <sz val="12"/>
      <color rgb="FFC00000"/>
      <name val="Helvetica"/>
    </font>
    <font>
      <b/>
      <sz val="16"/>
      <color theme="0"/>
      <name val="Helvetica"/>
    </font>
    <font>
      <sz val="12"/>
      <color rgb="FF008000"/>
      <name val="Helvetica"/>
    </font>
    <font>
      <sz val="10"/>
      <color rgb="FFC00000"/>
      <name val="Helvetica"/>
    </font>
    <font>
      <sz val="12"/>
      <color rgb="FF000090"/>
      <name val="Helvetica"/>
    </font>
    <font>
      <sz val="12"/>
      <color theme="0" tint="-0.34998626667073579"/>
      <name val="Helvetuca"/>
    </font>
    <font>
      <sz val="12"/>
      <color theme="1"/>
      <name val="Helvetuca"/>
    </font>
    <font>
      <sz val="12"/>
      <color theme="0" tint="-0.34998626667073579"/>
      <name val="Helvetica"/>
    </font>
    <font>
      <b/>
      <sz val="12"/>
      <color theme="0"/>
      <name val="Helvetuca"/>
    </font>
    <font>
      <sz val="9"/>
      <color rgb="FF000000"/>
      <name val="Arial"/>
      <family val="2"/>
    </font>
    <font>
      <b/>
      <sz val="9"/>
      <color rgb="FF000000"/>
      <name val="Arial"/>
      <family val="2"/>
    </font>
  </fonts>
  <fills count="5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C00000"/>
      </patternFill>
    </fill>
    <fill>
      <patternFill patternType="solid">
        <fgColor theme="0"/>
      </patternFill>
    </fill>
    <fill>
      <patternFill patternType="solid">
        <fgColor rgb="FFFFE5EA"/>
      </patternFill>
    </fill>
    <fill>
      <patternFill patternType="solid">
        <fgColor rgb="FFFFF6E3"/>
      </patternFill>
    </fill>
    <fill>
      <patternFill patternType="solid">
        <fgColor rgb="FFF6DFFF"/>
      </patternFill>
    </fill>
    <fill>
      <patternFill patternType="solid">
        <fgColor rgb="FFEDE8DD"/>
      </patternFill>
    </fill>
    <fill>
      <patternFill patternType="solid">
        <fgColor rgb="FFE5FFE2"/>
      </patternFill>
    </fill>
    <fill>
      <patternFill patternType="solid">
        <fgColor rgb="FFDDE7FF"/>
      </patternFill>
    </fill>
    <fill>
      <patternFill patternType="solid">
        <fgColor rgb="FFC00000"/>
        <bgColor indexed="64"/>
      </patternFill>
    </fill>
  </fills>
  <borders count="61">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diagonal/>
    </border>
  </borders>
  <cellStyleXfs count="116">
    <xf numFmtId="0" fontId="0" fillId="0" borderId="0"/>
    <xf numFmtId="43" fontId="1" fillId="0" borderId="0" applyFont="0" applyFill="0" applyBorder="0" applyAlignment="0" applyProtection="0"/>
    <xf numFmtId="0" fontId="4" fillId="0" borderId="0"/>
    <xf numFmtId="0" fontId="24" fillId="0" borderId="0" applyNumberFormat="0" applyFill="0" applyBorder="0" applyAlignment="0" applyProtection="0">
      <alignment vertical="top"/>
      <protection locked="0"/>
    </xf>
    <xf numFmtId="0" fontId="34" fillId="16"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35" fillId="26"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33" borderId="0" applyNumberFormat="0" applyBorder="0" applyAlignment="0" applyProtection="0"/>
    <xf numFmtId="0" fontId="36" fillId="17" borderId="0" applyNumberFormat="0" applyBorder="0" applyAlignment="0" applyProtection="0"/>
    <xf numFmtId="0" fontId="37" fillId="34" borderId="44" applyNumberFormat="0" applyAlignment="0" applyProtection="0"/>
    <xf numFmtId="0" fontId="38" fillId="35" borderId="45" applyNumberFormat="0" applyAlignment="0" applyProtection="0"/>
    <xf numFmtId="43" fontId="4" fillId="0" borderId="0" applyFont="0" applyFill="0" applyBorder="0" applyAlignment="0" applyProtection="0"/>
    <xf numFmtId="166" fontId="4" fillId="0" borderId="0" applyFont="0" applyFill="0" applyBorder="0" applyAlignment="0" applyProtection="0">
      <alignment wrapText="1"/>
    </xf>
    <xf numFmtId="166" fontId="4" fillId="0" borderId="0" applyFont="0" applyFill="0" applyBorder="0" applyAlignment="0" applyProtection="0">
      <alignment wrapText="1"/>
    </xf>
    <xf numFmtId="167" fontId="27" fillId="0" borderId="0" applyFont="0" applyFill="0" applyBorder="0" applyAlignment="0" applyProtection="0">
      <alignment vertical="center"/>
    </xf>
    <xf numFmtId="0" fontId="39" fillId="0" borderId="0" applyNumberFormat="0" applyFill="0" applyBorder="0" applyAlignment="0" applyProtection="0"/>
    <xf numFmtId="0" fontId="40" fillId="18" borderId="0" applyNumberFormat="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21" borderId="44" applyNumberFormat="0" applyAlignment="0" applyProtection="0"/>
    <xf numFmtId="0" fontId="46" fillId="0" borderId="49" applyNumberFormat="0" applyFill="0" applyAlignment="0" applyProtection="0"/>
    <xf numFmtId="0" fontId="47"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8"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9"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1" fontId="50" fillId="0" borderId="0">
      <alignment horizontal="center" vertical="center"/>
    </xf>
    <xf numFmtId="0" fontId="51" fillId="0" borderId="0" applyNumberFormat="0" applyFill="0" applyBorder="0" applyAlignment="0" applyProtection="0"/>
    <xf numFmtId="0" fontId="52" fillId="0" borderId="55" applyNumberFormat="0" applyFill="0" applyAlignment="0" applyProtection="0"/>
    <xf numFmtId="0" fontId="53" fillId="0" borderId="0" applyNumberFormat="0" applyFill="0" applyBorder="0" applyAlignment="0" applyProtection="0"/>
    <xf numFmtId="172" fontId="4" fillId="0" borderId="0">
      <alignment horizontal="center" vertical="center"/>
    </xf>
    <xf numFmtId="172" fontId="4" fillId="0" borderId="0">
      <alignment horizontal="center" vertical="center"/>
    </xf>
    <xf numFmtId="0" fontId="57" fillId="41" borderId="56"/>
    <xf numFmtId="2" fontId="58" fillId="42" borderId="56"/>
    <xf numFmtId="0" fontId="59" fillId="43" borderId="0" applyBorder="0"/>
    <xf numFmtId="43" fontId="4" fillId="0" borderId="0" applyFont="0" applyFill="0" applyBorder="0" applyAlignment="0" applyProtection="0"/>
    <xf numFmtId="0" fontId="60" fillId="42" borderId="56"/>
    <xf numFmtId="0" fontId="61" fillId="44" borderId="0" applyBorder="0"/>
    <xf numFmtId="0" fontId="62" fillId="45" borderId="0" applyBorder="0"/>
    <xf numFmtId="0" fontId="63" fillId="41" borderId="9"/>
    <xf numFmtId="0" fontId="64" fillId="46" borderId="9"/>
    <xf numFmtId="0" fontId="56" fillId="5" borderId="9"/>
    <xf numFmtId="0" fontId="65" fillId="41" borderId="9"/>
    <xf numFmtId="0" fontId="66" fillId="47" borderId="0" applyBorder="0"/>
    <xf numFmtId="0" fontId="60" fillId="0" borderId="0"/>
    <xf numFmtId="9" fontId="4" fillId="0" borderId="0" applyFont="0" applyFill="0" applyBorder="0" applyAlignment="0" applyProtection="0"/>
    <xf numFmtId="0" fontId="67" fillId="42" borderId="56"/>
    <xf numFmtId="0" fontId="68" fillId="48" borderId="0" applyBorder="0"/>
    <xf numFmtId="0" fontId="57" fillId="41" borderId="16"/>
    <xf numFmtId="2" fontId="58" fillId="42" borderId="16"/>
  </cellStyleXfs>
  <cellXfs count="460">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1"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2"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3"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4"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4"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5"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6" fillId="7" borderId="0" xfId="2" applyFont="1" applyFill="1"/>
    <xf numFmtId="0" fontId="4" fillId="7" borderId="0" xfId="2" applyFill="1"/>
    <xf numFmtId="0" fontId="6" fillId="10" borderId="42" xfId="2" applyFont="1" applyFill="1" applyBorder="1" applyAlignment="1">
      <alignment horizontal="center"/>
    </xf>
    <xf numFmtId="0" fontId="27" fillId="0" borderId="42" xfId="2" applyFont="1" applyBorder="1" applyAlignment="1">
      <alignment wrapText="1"/>
    </xf>
    <xf numFmtId="0" fontId="28"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7" fillId="0" borderId="0" xfId="2" applyFont="1" applyBorder="1" applyAlignment="1">
      <alignment wrapText="1"/>
    </xf>
    <xf numFmtId="0" fontId="26"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9" fillId="0" borderId="0" xfId="0" applyFont="1"/>
    <xf numFmtId="0" fontId="26" fillId="0" borderId="0" xfId="0" applyFont="1" applyFill="1" applyBorder="1" applyAlignment="1">
      <alignment horizontal="left"/>
    </xf>
    <xf numFmtId="0" fontId="30"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31" fillId="0" borderId="0" xfId="2" applyFont="1" applyFill="1" applyBorder="1"/>
    <xf numFmtId="0" fontId="15" fillId="6" borderId="0" xfId="2" applyFont="1" applyFill="1" applyBorder="1"/>
    <xf numFmtId="0" fontId="32" fillId="0" borderId="0" xfId="2" applyFont="1" applyFill="1" applyBorder="1" applyAlignment="1">
      <alignment horizontal="left"/>
    </xf>
    <xf numFmtId="0" fontId="32" fillId="0" borderId="0" xfId="2" applyFont="1" applyFill="1" applyBorder="1"/>
    <xf numFmtId="0" fontId="31" fillId="0" borderId="22" xfId="2" applyFont="1" applyFill="1" applyBorder="1"/>
    <xf numFmtId="0" fontId="15" fillId="0" borderId="0" xfId="2" applyFont="1" applyFill="1"/>
    <xf numFmtId="0" fontId="33" fillId="0" borderId="0" xfId="2" applyFont="1" applyFill="1"/>
    <xf numFmtId="0" fontId="15" fillId="0" borderId="0" xfId="2" applyFont="1" applyFill="1" applyAlignment="1">
      <alignment horizontal="left"/>
    </xf>
    <xf numFmtId="0" fontId="15" fillId="0" borderId="22" xfId="2" applyFont="1" applyFill="1" applyBorder="1"/>
    <xf numFmtId="0" fontId="32"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32"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0" fontId="24" fillId="0" borderId="0" xfId="3" applyFont="1" applyAlignment="1" applyProtection="1"/>
    <xf numFmtId="0" fontId="4" fillId="0" borderId="10" xfId="2" applyFont="1" applyFill="1" applyBorder="1" applyAlignment="1">
      <alignment horizontal="center" vertical="center" wrapText="1"/>
    </xf>
    <xf numFmtId="0" fontId="54" fillId="5" borderId="56" xfId="0" applyFont="1" applyFill="1" applyBorder="1" applyProtection="1">
      <protection locked="0"/>
    </xf>
    <xf numFmtId="1" fontId="54" fillId="5" borderId="56" xfId="0" applyNumberFormat="1" applyFont="1" applyFill="1" applyBorder="1" applyProtection="1">
      <protection locked="0"/>
    </xf>
    <xf numFmtId="164" fontId="54" fillId="5" borderId="56" xfId="0" applyNumberFormat="1" applyFont="1" applyFill="1" applyBorder="1" applyProtection="1">
      <protection locked="0"/>
    </xf>
    <xf numFmtId="165" fontId="6" fillId="0" borderId="0" xfId="0" applyNumberFormat="1" applyFont="1"/>
    <xf numFmtId="0" fontId="55" fillId="0" borderId="0" xfId="0" applyFont="1" applyProtection="1">
      <protection locked="0"/>
    </xf>
    <xf numFmtId="0" fontId="56" fillId="0" borderId="0" xfId="0" applyFont="1" applyProtection="1">
      <protection locked="0"/>
    </xf>
    <xf numFmtId="0" fontId="57" fillId="41" borderId="57" xfId="98" applyBorder="1" applyProtection="1">
      <protection locked="0"/>
    </xf>
    <xf numFmtId="0" fontId="57" fillId="41" borderId="59" xfId="98" applyBorder="1" applyProtection="1">
      <protection locked="0"/>
    </xf>
    <xf numFmtId="0" fontId="57" fillId="41" borderId="58" xfId="98" applyBorder="1" applyProtection="1">
      <protection locked="0"/>
    </xf>
    <xf numFmtId="0" fontId="57" fillId="41" borderId="56" xfId="98" applyProtection="1">
      <protection locked="0"/>
    </xf>
    <xf numFmtId="0" fontId="58" fillId="0" borderId="57" xfId="98" applyFont="1" applyFill="1" applyBorder="1" applyProtection="1">
      <protection locked="0"/>
    </xf>
    <xf numFmtId="0" fontId="57" fillId="0" borderId="59" xfId="98" applyFill="1" applyBorder="1" applyProtection="1">
      <protection locked="0"/>
    </xf>
    <xf numFmtId="0" fontId="57" fillId="0" borderId="58" xfId="98" applyFill="1" applyBorder="1" applyProtection="1">
      <protection locked="0"/>
    </xf>
    <xf numFmtId="1" fontId="58" fillId="0" borderId="56" xfId="98" applyNumberFormat="1" applyFont="1" applyFill="1" applyProtection="1">
      <protection locked="0"/>
    </xf>
    <xf numFmtId="173" fontId="58" fillId="42" borderId="56" xfId="99" applyNumberFormat="1" applyProtection="1">
      <protection locked="0"/>
    </xf>
    <xf numFmtId="2" fontId="58" fillId="42" borderId="57" xfId="99" applyBorder="1" applyProtection="1">
      <protection locked="0"/>
    </xf>
    <xf numFmtId="2" fontId="58" fillId="42" borderId="59" xfId="99" applyBorder="1" applyProtection="1">
      <protection locked="0"/>
    </xf>
    <xf numFmtId="2" fontId="58" fillId="42" borderId="58" xfId="99" applyBorder="1" applyProtection="1">
      <protection locked="0"/>
    </xf>
    <xf numFmtId="1" fontId="58" fillId="42" borderId="56" xfId="99" applyNumberFormat="1" applyProtection="1">
      <protection locked="0"/>
    </xf>
    <xf numFmtId="1" fontId="57" fillId="41" borderId="56" xfId="98" applyNumberFormat="1" applyProtection="1">
      <protection locked="0"/>
    </xf>
    <xf numFmtId="0" fontId="57" fillId="41" borderId="56" xfId="98" applyNumberFormat="1" applyProtection="1">
      <protection locked="0"/>
    </xf>
    <xf numFmtId="2" fontId="58" fillId="42" borderId="56" xfId="99" applyProtection="1">
      <protection locked="0"/>
    </xf>
    <xf numFmtId="0" fontId="15" fillId="0" borderId="0" xfId="0" applyFont="1" applyAlignment="1">
      <alignment horizontal="right"/>
    </xf>
    <xf numFmtId="1" fontId="15" fillId="0" borderId="0" xfId="0" applyNumberFormat="1" applyFont="1"/>
    <xf numFmtId="0" fontId="4" fillId="0" borderId="56" xfId="2" applyFont="1" applyBorder="1" applyProtection="1">
      <protection locked="0"/>
    </xf>
    <xf numFmtId="0" fontId="15" fillId="0" borderId="56" xfId="0" applyFont="1" applyFill="1" applyBorder="1" applyAlignment="1">
      <alignment wrapText="1"/>
    </xf>
    <xf numFmtId="1" fontId="15" fillId="0" borderId="56" xfId="0" applyNumberFormat="1" applyFont="1" applyFill="1" applyBorder="1"/>
    <xf numFmtId="0" fontId="15" fillId="0" borderId="56" xfId="0" applyFont="1" applyBorder="1" applyProtection="1">
      <protection locked="0"/>
    </xf>
    <xf numFmtId="0" fontId="15" fillId="0" borderId="56" xfId="0" applyFont="1" applyFill="1" applyBorder="1" applyProtection="1">
      <protection locked="0"/>
    </xf>
    <xf numFmtId="0" fontId="15" fillId="0" borderId="56" xfId="0" applyFont="1" applyBorder="1" applyAlignment="1" applyProtection="1">
      <alignment horizontal="center"/>
      <protection locked="0"/>
    </xf>
    <xf numFmtId="2" fontId="15" fillId="0" borderId="56" xfId="0" applyNumberFormat="1" applyFont="1" applyFill="1" applyBorder="1"/>
    <xf numFmtId="1" fontId="15" fillId="0" borderId="56" xfId="0" applyNumberFormat="1" applyFont="1" applyFill="1" applyBorder="1" applyProtection="1">
      <protection locked="0"/>
    </xf>
    <xf numFmtId="0" fontId="4" fillId="2" borderId="0" xfId="2" applyFill="1" applyAlignment="1">
      <alignment horizontal="center"/>
    </xf>
    <xf numFmtId="0" fontId="4" fillId="2" borderId="0" xfId="2" applyFill="1" applyAlignment="1">
      <alignment horizontal="left"/>
    </xf>
    <xf numFmtId="0" fontId="65" fillId="41" borderId="9" xfId="108" applyProtection="1">
      <protection locked="0"/>
    </xf>
    <xf numFmtId="0" fontId="55" fillId="5" borderId="0" xfId="110" applyFont="1" applyFill="1" applyAlignment="1" applyProtection="1">
      <alignment vertical="center"/>
      <protection locked="0"/>
    </xf>
    <xf numFmtId="0" fontId="60" fillId="5" borderId="0" xfId="110" applyFont="1" applyFill="1" applyAlignment="1" applyProtection="1">
      <alignment vertical="center"/>
      <protection locked="0"/>
    </xf>
    <xf numFmtId="0" fontId="63" fillId="41" borderId="9" xfId="105" applyProtection="1">
      <protection locked="0"/>
    </xf>
    <xf numFmtId="0" fontId="60" fillId="0" borderId="0" xfId="110" applyProtection="1">
      <protection locked="0"/>
    </xf>
    <xf numFmtId="0" fontId="55" fillId="0" borderId="0" xfId="110" applyFont="1" applyProtection="1">
      <protection locked="0"/>
    </xf>
    <xf numFmtId="0" fontId="57" fillId="41" borderId="16" xfId="114" applyProtection="1">
      <protection locked="0"/>
    </xf>
    <xf numFmtId="2" fontId="58" fillId="42" borderId="57" xfId="115" applyBorder="1" applyProtection="1">
      <protection locked="0"/>
    </xf>
    <xf numFmtId="2" fontId="58" fillId="42" borderId="58" xfId="115" applyBorder="1" applyProtection="1">
      <protection locked="0"/>
    </xf>
    <xf numFmtId="2" fontId="58" fillId="42" borderId="16" xfId="115" applyProtection="1">
      <protection locked="0"/>
    </xf>
    <xf numFmtId="0" fontId="69" fillId="0" borderId="0" xfId="110" applyFont="1" applyProtection="1">
      <protection locked="0"/>
    </xf>
    <xf numFmtId="0" fontId="70" fillId="0" borderId="0" xfId="110" applyFont="1" applyProtection="1">
      <protection locked="0"/>
    </xf>
    <xf numFmtId="0" fontId="71" fillId="0" borderId="0" xfId="110" applyFont="1" applyProtection="1">
      <protection locked="0"/>
    </xf>
    <xf numFmtId="0" fontId="69" fillId="0" borderId="0" xfId="110" applyFont="1" applyFill="1" applyBorder="1" applyProtection="1">
      <protection locked="0"/>
    </xf>
    <xf numFmtId="0" fontId="71" fillId="0" borderId="0" xfId="110" applyFont="1" applyFill="1" applyBorder="1" applyProtection="1">
      <protection locked="0"/>
    </xf>
    <xf numFmtId="0" fontId="70" fillId="0" borderId="57" xfId="110" applyFont="1" applyBorder="1" applyProtection="1">
      <protection locked="0"/>
    </xf>
    <xf numFmtId="0" fontId="72" fillId="49" borderId="57" xfId="110" applyFont="1" applyFill="1" applyBorder="1" applyProtection="1">
      <protection locked="0"/>
    </xf>
    <xf numFmtId="0" fontId="70" fillId="0" borderId="0" xfId="110" applyFont="1" applyFill="1" applyBorder="1" applyProtection="1">
      <protection locked="0"/>
    </xf>
    <xf numFmtId="175" fontId="15" fillId="0" borderId="16" xfId="0" applyNumberFormat="1" applyFont="1" applyFill="1" applyBorder="1"/>
    <xf numFmtId="176" fontId="15" fillId="0" borderId="16" xfId="0" applyNumberFormat="1" applyFont="1" applyFill="1" applyBorder="1"/>
    <xf numFmtId="3" fontId="15" fillId="0" borderId="16" xfId="0" applyNumberFormat="1" applyFont="1" applyFill="1" applyBorder="1"/>
    <xf numFmtId="0" fontId="4" fillId="0" borderId="56" xfId="2" applyFont="1" applyFill="1" applyBorder="1" applyProtection="1">
      <protection locked="0"/>
    </xf>
    <xf numFmtId="0" fontId="15" fillId="0" borderId="56" xfId="0" applyFont="1" applyFill="1" applyBorder="1" applyAlignment="1" applyProtection="1">
      <alignment horizontal="center"/>
      <protection locked="0"/>
    </xf>
    <xf numFmtId="0" fontId="4" fillId="0" borderId="57" xfId="2" applyFont="1" applyFill="1" applyBorder="1" applyAlignment="1" applyProtection="1">
      <alignment horizontal="left"/>
      <protection locked="0"/>
    </xf>
    <xf numFmtId="0" fontId="4" fillId="0" borderId="59" xfId="2" applyFont="1" applyFill="1" applyBorder="1" applyAlignment="1" applyProtection="1">
      <alignment horizontal="left"/>
      <protection locked="0"/>
    </xf>
    <xf numFmtId="0" fontId="4" fillId="0" borderId="58" xfId="2" applyFont="1" applyFill="1" applyBorder="1" applyAlignment="1" applyProtection="1">
      <alignment horizontal="left"/>
      <protection locked="0"/>
    </xf>
    <xf numFmtId="164" fontId="15" fillId="0" borderId="56" xfId="0" applyNumberFormat="1" applyFont="1" applyFill="1" applyBorder="1"/>
    <xf numFmtId="3" fontId="15" fillId="0" borderId="56" xfId="0" applyNumberFormat="1" applyFont="1" applyFill="1" applyBorder="1"/>
    <xf numFmtId="3" fontId="15" fillId="0" borderId="56" xfId="0" applyNumberFormat="1" applyFont="1" applyFill="1" applyBorder="1" applyProtection="1">
      <protection locked="0"/>
    </xf>
    <xf numFmtId="0" fontId="4" fillId="0" borderId="16" xfId="2" applyFont="1" applyFill="1" applyBorder="1" applyProtection="1">
      <protection locked="0"/>
    </xf>
    <xf numFmtId="174" fontId="15" fillId="0" borderId="16" xfId="0" applyNumberFormat="1" applyFont="1" applyFill="1" applyBorder="1"/>
    <xf numFmtId="0" fontId="15" fillId="0" borderId="16" xfId="0" applyFont="1" applyFill="1" applyBorder="1" applyAlignment="1" applyProtection="1">
      <alignment horizontal="center"/>
      <protection locked="0"/>
    </xf>
    <xf numFmtId="4" fontId="15" fillId="0" borderId="16" xfId="0" applyNumberFormat="1" applyFont="1" applyFill="1" applyBorder="1"/>
    <xf numFmtId="2" fontId="15" fillId="0" borderId="16" xfId="0" applyNumberFormat="1" applyFont="1" applyFill="1" applyBorder="1" applyProtection="1">
      <protection locked="0"/>
    </xf>
    <xf numFmtId="165" fontId="15" fillId="0" borderId="16" xfId="0" applyNumberFormat="1" applyFont="1" applyFill="1" applyBorder="1" applyProtection="1">
      <protection locked="0"/>
    </xf>
    <xf numFmtId="2" fontId="15" fillId="0" borderId="0" xfId="0" applyNumberFormat="1" applyFont="1" applyFill="1"/>
    <xf numFmtId="9" fontId="0" fillId="0" borderId="0" xfId="0" applyNumberFormat="1"/>
    <xf numFmtId="0" fontId="4" fillId="5" borderId="60" xfId="2" applyFont="1" applyFill="1" applyBorder="1" applyAlignment="1">
      <alignment horizontal="left" vertical="center" wrapText="1"/>
    </xf>
    <xf numFmtId="0" fontId="4" fillId="5" borderId="59" xfId="2" applyFont="1" applyFill="1" applyBorder="1" applyAlignment="1">
      <alignment horizontal="left" vertical="center"/>
    </xf>
    <xf numFmtId="0" fontId="4" fillId="2" borderId="0" xfId="2" applyFill="1" applyAlignment="1">
      <alignment horizontal="center"/>
    </xf>
    <xf numFmtId="0" fontId="4" fillId="0" borderId="57" xfId="2" applyFont="1" applyFill="1" applyBorder="1" applyAlignment="1" applyProtection="1">
      <alignment horizontal="left"/>
      <protection locked="0"/>
    </xf>
    <xf numFmtId="0" fontId="4" fillId="0" borderId="59" xfId="2" applyFont="1" applyFill="1" applyBorder="1" applyAlignment="1" applyProtection="1">
      <alignment horizontal="left"/>
      <protection locked="0"/>
    </xf>
    <xf numFmtId="0" fontId="4" fillId="0" borderId="58" xfId="2" applyFont="1" applyFill="1" applyBorder="1" applyAlignment="1" applyProtection="1">
      <alignment horizontal="left"/>
      <protection locked="0"/>
    </xf>
    <xf numFmtId="0" fontId="4" fillId="2" borderId="0" xfId="2" applyFill="1" applyAlignment="1">
      <alignment horizontal="left"/>
    </xf>
    <xf numFmtId="0" fontId="4" fillId="2" borderId="0" xfId="2" applyFill="1" applyAlignment="1">
      <alignment horizontal="center"/>
    </xf>
    <xf numFmtId="0" fontId="12" fillId="0" borderId="0" xfId="0" applyFont="1"/>
    <xf numFmtId="164" fontId="15" fillId="0" borderId="56" xfId="0" applyNumberFormat="1" applyFont="1" applyFill="1" applyBorder="1" applyAlignment="1">
      <alignment wrapText="1"/>
    </xf>
    <xf numFmtId="0" fontId="24" fillId="0" borderId="0" xfId="3" applyAlignment="1" applyProtection="1">
      <alignment horizontal="left" vertical="top"/>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5" borderId="59"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2" borderId="0" xfId="2" applyFill="1" applyAlignment="1">
      <alignment horizontal="left"/>
    </xf>
    <xf numFmtId="0" fontId="4" fillId="0" borderId="57" xfId="2" applyFont="1" applyFill="1" applyBorder="1" applyAlignment="1" applyProtection="1">
      <alignment horizontal="left"/>
      <protection locked="0"/>
    </xf>
    <xf numFmtId="0" fontId="4" fillId="0" borderId="59" xfId="2" applyFont="1" applyFill="1" applyBorder="1" applyAlignment="1" applyProtection="1">
      <alignment horizontal="left"/>
      <protection locked="0"/>
    </xf>
    <xf numFmtId="0" fontId="4" fillId="0" borderId="58" xfId="2" applyFont="1" applyFill="1" applyBorder="1" applyAlignment="1" applyProtection="1">
      <alignment horizontal="left"/>
      <protection locked="0"/>
    </xf>
    <xf numFmtId="0" fontId="4" fillId="2" borderId="0" xfId="2" applyFill="1" applyAlignment="1">
      <alignment horizontal="center"/>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57" xfId="2" applyFont="1" applyBorder="1" applyAlignment="1" applyProtection="1">
      <alignment horizontal="left"/>
      <protection locked="0"/>
    </xf>
    <xf numFmtId="0" fontId="4" fillId="0" borderId="59" xfId="2" applyFont="1" applyBorder="1" applyAlignment="1" applyProtection="1">
      <alignment horizontal="left"/>
      <protection locked="0"/>
    </xf>
    <xf numFmtId="0" fontId="4" fillId="0" borderId="58" xfId="2" applyFont="1" applyBorder="1" applyAlignment="1" applyProtection="1">
      <alignment horizontal="left"/>
      <protection locked="0"/>
    </xf>
    <xf numFmtId="0" fontId="4" fillId="0" borderId="57" xfId="2" applyFont="1" applyFill="1" applyBorder="1" applyAlignment="1" applyProtection="1">
      <alignment horizontal="left" wrapText="1"/>
      <protection locked="0"/>
    </xf>
    <xf numFmtId="0" fontId="4" fillId="0" borderId="59" xfId="2" applyFont="1" applyFill="1" applyBorder="1" applyAlignment="1" applyProtection="1">
      <alignment horizontal="left" wrapText="1"/>
      <protection locked="0"/>
    </xf>
    <xf numFmtId="0" fontId="4" fillId="0" borderId="58" xfId="2" applyFont="1" applyFill="1" applyBorder="1" applyAlignment="1" applyProtection="1">
      <alignment horizontal="left" wrapText="1"/>
      <protection locked="0"/>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center"/>
    </xf>
    <xf numFmtId="0" fontId="6" fillId="3" borderId="16" xfId="2" applyFont="1" applyFill="1" applyBorder="1" applyAlignment="1">
      <alignment horizontal="left"/>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6" xfId="2" applyBorder="1" applyAlignment="1" applyProtection="1">
      <alignment horizontal="left"/>
      <protection locked="0"/>
    </xf>
    <xf numFmtId="0" fontId="73" fillId="8" borderId="22" xfId="0" applyFont="1" applyFill="1" applyBorder="1" applyAlignment="1">
      <alignment horizontal="left" vertical="top" wrapText="1" readingOrder="1"/>
    </xf>
    <xf numFmtId="0" fontId="73" fillId="8" borderId="0" xfId="0" applyFont="1" applyFill="1" applyBorder="1" applyAlignment="1">
      <alignment horizontal="left" vertical="top" wrapText="1" readingOrder="1"/>
    </xf>
    <xf numFmtId="0" fontId="73" fillId="8" borderId="23" xfId="0" applyFont="1" applyFill="1" applyBorder="1" applyAlignment="1">
      <alignment horizontal="left" vertical="top" wrapText="1" readingOrder="1"/>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57" xfId="2" applyFont="1" applyBorder="1" applyAlignment="1" applyProtection="1">
      <alignment horizontal="left" wrapText="1"/>
      <protection locked="0"/>
    </xf>
    <xf numFmtId="0" fontId="4" fillId="0" borderId="59" xfId="2" applyFont="1" applyBorder="1" applyAlignment="1" applyProtection="1">
      <alignment horizontal="left" wrapText="1"/>
      <protection locked="0"/>
    </xf>
    <xf numFmtId="0" fontId="4" fillId="0" borderId="58" xfId="2" applyFont="1" applyBorder="1" applyAlignment="1" applyProtection="1">
      <alignment horizontal="left" wrapText="1"/>
      <protection locked="0"/>
    </xf>
    <xf numFmtId="0" fontId="20"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0" fillId="0" borderId="35" xfId="0" applyFont="1" applyFill="1" applyBorder="1" applyAlignment="1">
      <alignment horizont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7" fillId="0" borderId="2" xfId="2" applyFont="1" applyBorder="1" applyAlignment="1">
      <alignment wrapText="1"/>
    </xf>
    <xf numFmtId="0" fontId="27" fillId="0" borderId="4" xfId="2" applyFont="1" applyBorder="1" applyAlignment="1">
      <alignment wrapText="1"/>
    </xf>
    <xf numFmtId="0" fontId="27" fillId="0" borderId="3" xfId="2" applyFont="1" applyBorder="1" applyAlignment="1">
      <alignment wrapText="1"/>
    </xf>
    <xf numFmtId="0" fontId="28" fillId="0" borderId="2" xfId="2" applyFont="1" applyBorder="1" applyAlignment="1">
      <alignment wrapText="1"/>
    </xf>
    <xf numFmtId="0" fontId="28" fillId="0" borderId="4" xfId="2" applyFont="1" applyBorder="1" applyAlignment="1">
      <alignment wrapText="1"/>
    </xf>
    <xf numFmtId="0" fontId="28" fillId="0" borderId="2" xfId="2" applyFont="1" applyBorder="1"/>
    <xf numFmtId="0" fontId="28" fillId="0" borderId="4" xfId="2" applyFont="1" applyBorder="1"/>
    <xf numFmtId="0" fontId="54" fillId="5" borderId="57" xfId="0" applyFont="1" applyFill="1" applyBorder="1" applyAlignment="1" applyProtection="1">
      <alignment horizontal="left"/>
      <protection locked="0"/>
    </xf>
    <xf numFmtId="0" fontId="54" fillId="5" borderId="58" xfId="0" applyFont="1" applyFill="1" applyBorder="1" applyAlignment="1" applyProtection="1">
      <alignment horizontal="left"/>
      <protection locked="0"/>
    </xf>
    <xf numFmtId="0" fontId="57" fillId="41" borderId="56" xfId="98" applyProtection="1">
      <protection locked="0"/>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16">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bustion" xfId="100"/>
    <cellStyle name="Comma" xfId="1" builtinId="3"/>
    <cellStyle name="Comma 2" xfId="43"/>
    <cellStyle name="Comma 3" xfId="101"/>
    <cellStyle name="DateTime" xfId="44"/>
    <cellStyle name="DateTime 2" xfId="45"/>
    <cellStyle name="Default_Free" xfId="102"/>
    <cellStyle name="Electricity" xfId="103"/>
    <cellStyle name="Embodied" xfId="104"/>
    <cellStyle name="Euro" xfId="46"/>
    <cellStyle name="Explanatory Text 2" xfId="47"/>
    <cellStyle name="GHG First" xfId="105"/>
    <cellStyle name="GHG Second" xfId="106"/>
    <cellStyle name="GHG Third" xfId="107"/>
    <cellStyle name="GHG_Title" xfId="108"/>
    <cellStyle name="Good 2" xfId="48"/>
    <cellStyle name="Heading 1 2" xfId="49"/>
    <cellStyle name="Heading 2 2" xfId="50"/>
    <cellStyle name="Heading 3 2" xfId="51"/>
    <cellStyle name="Heading 4 2" xfId="52"/>
    <cellStyle name="Hyperlink" xfId="3" builtinId="8"/>
    <cellStyle name="Hyperlink 2" xfId="53"/>
    <cellStyle name="Input 2" xfId="54"/>
    <cellStyle name="Land use" xfId="109"/>
    <cellStyle name="Linked Cell 2" xfId="55"/>
    <cellStyle name="Neutral 2" xfId="56"/>
    <cellStyle name="Normal" xfId="0" builtinId="0"/>
    <cellStyle name="Normal 2" xfId="2"/>
    <cellStyle name="Normal 3" xfId="57"/>
    <cellStyle name="Normal 4" xfId="110"/>
    <cellStyle name="Note 2" xfId="58"/>
    <cellStyle name="Note 2 2" xfId="59"/>
    <cellStyle name="Output 2" xfId="60"/>
    <cellStyle name="Percent 2" xfId="61"/>
    <cellStyle name="Percent 2 2" xfId="62"/>
    <cellStyle name="Percent 2 3" xfId="63"/>
    <cellStyle name="Percent 3" xfId="111"/>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able_Body" xfId="99"/>
    <cellStyle name="Table_Body 2" xfId="115"/>
    <cellStyle name="Table_Header" xfId="98"/>
    <cellStyle name="Table_Header 2" xfId="114"/>
    <cellStyle name="text" xfId="92"/>
    <cellStyle name="Title 2" xfId="93"/>
    <cellStyle name="Total 2" xfId="94"/>
    <cellStyle name="User_Free" xfId="112"/>
    <cellStyle name="Venting" xfId="113"/>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847725</xdr:colOff>
          <xdr:row>16</xdr:row>
          <xdr:rowOff>276225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1857375</xdr:colOff>
          <xdr:row>16</xdr:row>
          <xdr:rowOff>266700</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3019425</xdr:colOff>
          <xdr:row>16</xdr:row>
          <xdr:rowOff>276225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476250</xdr:colOff>
          <xdr:row>16</xdr:row>
          <xdr:rowOff>266700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67225</xdr:rowOff>
    </xdr:from>
    <xdr:to>
      <xdr:col>11</xdr:col>
      <xdr:colOff>510785</xdr:colOff>
      <xdr:row>21</xdr:row>
      <xdr:rowOff>137887</xdr:rowOff>
    </xdr:to>
    <xdr:grpSp>
      <xdr:nvGrpSpPr>
        <xdr:cNvPr id="31" name="Group 30">
          <a:extLst>
            <a:ext uri="{FF2B5EF4-FFF2-40B4-BE49-F238E27FC236}">
              <a16:creationId xmlns:a16="http://schemas.microsoft.com/office/drawing/2014/main" id="{00000000-0008-0000-0A00-00001F000000}"/>
            </a:ext>
          </a:extLst>
        </xdr:cNvPr>
        <xdr:cNvGrpSpPr/>
      </xdr:nvGrpSpPr>
      <xdr:grpSpPr>
        <a:xfrm>
          <a:off x="0" y="257725"/>
          <a:ext cx="7216385" cy="3880662"/>
          <a:chOff x="0" y="257725"/>
          <a:chExt cx="7216385" cy="3880662"/>
        </a:xfrm>
      </xdr:grpSpPr>
      <xdr:grpSp>
        <xdr:nvGrpSpPr>
          <xdr:cNvPr id="2" name="Legend">
            <a:extLst>
              <a:ext uri="{FF2B5EF4-FFF2-40B4-BE49-F238E27FC236}">
                <a16:creationId xmlns:a16="http://schemas.microsoft.com/office/drawing/2014/main" id="{00000000-0008-0000-0A00-000002000000}"/>
              </a:ext>
            </a:extLst>
          </xdr:cNvPr>
          <xdr:cNvGrpSpPr/>
        </xdr:nvGrpSpPr>
        <xdr:grpSpPr>
          <a:xfrm>
            <a:off x="0" y="3352800"/>
            <a:ext cx="1945748" cy="785587"/>
            <a:chOff x="7457181" y="3134295"/>
            <a:chExt cx="1953912" cy="753022"/>
          </a:xfrm>
        </xdr:grpSpPr>
        <xdr:sp macro="" textlink="">
          <xdr:nvSpPr>
            <xdr:cNvPr id="3" name="LegendBox">
              <a:extLst>
                <a:ext uri="{FF2B5EF4-FFF2-40B4-BE49-F238E27FC236}">
                  <a16:creationId xmlns:a16="http://schemas.microsoft.com/office/drawing/2014/main" id="{00000000-0008-0000-0A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A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00000000-0008-0000-0A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Raw Petroleum Mixture</a:t>
            </a:r>
            <a:endParaRPr lang="en-US" sz="8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A00-00000B000000}"/>
              </a:ext>
            </a:extLst>
          </xdr:cNvPr>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a:extLst>
              <a:ext uri="{FF2B5EF4-FFF2-40B4-BE49-F238E27FC236}">
                <a16:creationId xmlns:a16="http://schemas.microsoft.com/office/drawing/2014/main" id="{00000000-0008-0000-0A00-00000D000000}"/>
              </a:ext>
            </a:extLst>
          </xdr:cNvPr>
          <xdr:cNvSpPr/>
        </xdr:nvSpPr>
        <xdr:spPr>
          <a:xfrm>
            <a:off x="0" y="25772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 in engine [Natural gas products]</a:t>
            </a:r>
          </a:p>
        </xdr:txBody>
      </xdr:sp>
      <xdr:cxnSp macro="">
        <xdr:nvCxnSpPr>
          <xdr:cNvPr id="14" name="Straight Arrow Connector 1">
            <a:extLst>
              <a:ext uri="{FF2B5EF4-FFF2-40B4-BE49-F238E27FC236}">
                <a16:creationId xmlns:a16="http://schemas.microsoft.com/office/drawing/2014/main" id="{00000000-0008-0000-0A00-00000E000000}"/>
              </a:ext>
            </a:extLst>
          </xdr:cNvPr>
          <xdr:cNvCxnSpPr>
            <a:stCxn id="13" idx="2"/>
            <a:endCxn id="12" idx="1"/>
          </xdr:cNvCxnSpPr>
        </xdr:nvCxnSpPr>
        <xdr:spPr>
          <a:xfrm flipV="1">
            <a:off x="1397701" y="539496"/>
            <a:ext cx="2158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a:extLst>
              <a:ext uri="{FF2B5EF4-FFF2-40B4-BE49-F238E27FC236}">
                <a16:creationId xmlns:a16="http://schemas.microsoft.com/office/drawing/2014/main" id="{00000000-0008-0000-0A00-000010000000}"/>
              </a:ext>
            </a:extLst>
          </xdr:cNvPr>
          <xdr:cNvSpPr/>
        </xdr:nvSpPr>
        <xdr:spPr>
          <a:xfrm>
            <a:off x="1778000" y="727117"/>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LPG, combusted in engine [Natural gas products]</a:t>
            </a:r>
          </a:p>
        </xdr:txBody>
      </xdr:sp>
      <xdr:cxnSp macro="">
        <xdr:nvCxnSpPr>
          <xdr:cNvPr id="17" name="Straight Arrow Connector 2">
            <a:extLst>
              <a:ext uri="{FF2B5EF4-FFF2-40B4-BE49-F238E27FC236}">
                <a16:creationId xmlns:a16="http://schemas.microsoft.com/office/drawing/2014/main" id="{00000000-0008-0000-0A00-000011000000}"/>
              </a:ext>
            </a:extLst>
          </xdr:cNvPr>
          <xdr:cNvCxnSpPr>
            <a:stCxn id="16" idx="2"/>
            <a:endCxn id="15" idx="1"/>
          </xdr:cNvCxnSpPr>
        </xdr:nvCxnSpPr>
        <xdr:spPr>
          <a:xfrm flipV="1">
            <a:off x="3175701" y="1008888"/>
            <a:ext cx="380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9" name="Upstream Emssion Data 3">
            <a:extLst>
              <a:ext uri="{FF2B5EF4-FFF2-40B4-BE49-F238E27FC236}">
                <a16:creationId xmlns:a16="http://schemas.microsoft.com/office/drawing/2014/main" id="{00000000-0008-0000-0A00-000013000000}"/>
              </a:ext>
            </a:extLst>
          </xdr:cNvPr>
          <xdr:cNvSpPr/>
        </xdr:nvSpPr>
        <xdr:spPr>
          <a:xfrm>
            <a:off x="0" y="1196509"/>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[Electric Power]</a:t>
            </a:r>
          </a:p>
        </xdr:txBody>
      </xdr:sp>
      <xdr:cxnSp macro="">
        <xdr:nvCxnSpPr>
          <xdr:cNvPr id="20" name="Straight Arrow Connector 3">
            <a:extLst>
              <a:ext uri="{FF2B5EF4-FFF2-40B4-BE49-F238E27FC236}">
                <a16:creationId xmlns:a16="http://schemas.microsoft.com/office/drawing/2014/main" id="{00000000-0008-0000-0A00-000014000000}"/>
              </a:ext>
            </a:extLst>
          </xdr:cNvPr>
          <xdr:cNvCxnSpPr>
            <a:stCxn id="19" idx="2"/>
            <a:endCxn id="18" idx="1"/>
          </xdr:cNvCxnSpPr>
        </xdr:nvCxnSpPr>
        <xdr:spPr>
          <a:xfrm flipV="1">
            <a:off x="1397701" y="1478280"/>
            <a:ext cx="2158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2" name="Upstream Emssion Data 4">
            <a:extLst>
              <a:ext uri="{FF2B5EF4-FFF2-40B4-BE49-F238E27FC236}">
                <a16:creationId xmlns:a16="http://schemas.microsoft.com/office/drawing/2014/main" id="{00000000-0008-0000-0A00-000016000000}"/>
              </a:ext>
            </a:extLst>
          </xdr:cNvPr>
          <xdr:cNvSpPr/>
        </xdr:nvSpPr>
        <xdr:spPr>
          <a:xfrm>
            <a:off x="1778000" y="1665901"/>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Thermal Energy from Diesel Combusted in Industrial Equipment [Valuable substances]</a:t>
            </a:r>
          </a:p>
        </xdr:txBody>
      </xdr:sp>
      <xdr:cxnSp macro="">
        <xdr:nvCxnSpPr>
          <xdr:cNvPr id="23" name="Straight Arrow Connector 4">
            <a:extLst>
              <a:ext uri="{FF2B5EF4-FFF2-40B4-BE49-F238E27FC236}">
                <a16:creationId xmlns:a16="http://schemas.microsoft.com/office/drawing/2014/main" id="{00000000-0008-0000-0A00-000017000000}"/>
              </a:ext>
            </a:extLst>
          </xdr:cNvPr>
          <xdr:cNvCxnSpPr>
            <a:stCxn id="22" idx="2"/>
            <a:endCxn id="21" idx="1"/>
          </xdr:cNvCxnSpPr>
        </xdr:nvCxnSpPr>
        <xdr:spPr>
          <a:xfrm flipV="1">
            <a:off x="3175701" y="1947672"/>
            <a:ext cx="380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Upstream Emssion Data 5">
            <a:extLst>
              <a:ext uri="{FF2B5EF4-FFF2-40B4-BE49-F238E27FC236}">
                <a16:creationId xmlns:a16="http://schemas.microsoft.com/office/drawing/2014/main" id="{00000000-0008-0000-0A00-000019000000}"/>
              </a:ext>
            </a:extLst>
          </xdr:cNvPr>
          <xdr:cNvSpPr/>
        </xdr:nvSpPr>
        <xdr:spPr>
          <a:xfrm>
            <a:off x="0" y="2135293"/>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 in turbine [Natural gas products]</a:t>
            </a:r>
          </a:p>
        </xdr:txBody>
      </xdr:sp>
      <xdr:cxnSp macro="">
        <xdr:nvCxnSpPr>
          <xdr:cNvPr id="26" name="Straight Arrow Connector 5">
            <a:extLst>
              <a:ext uri="{FF2B5EF4-FFF2-40B4-BE49-F238E27FC236}">
                <a16:creationId xmlns:a16="http://schemas.microsoft.com/office/drawing/2014/main" id="{00000000-0008-0000-0A00-00001A000000}"/>
              </a:ext>
            </a:extLst>
          </xdr:cNvPr>
          <xdr:cNvCxnSpPr>
            <a:stCxn id="25" idx="2"/>
            <a:endCxn id="24" idx="1"/>
          </xdr:cNvCxnSpPr>
        </xdr:nvCxnSpPr>
        <xdr:spPr>
          <a:xfrm flipV="1">
            <a:off x="1397701" y="2417064"/>
            <a:ext cx="2158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30" name="Boundary Group">
            <a:extLst>
              <a:ext uri="{FF2B5EF4-FFF2-40B4-BE49-F238E27FC236}">
                <a16:creationId xmlns:a16="http://schemas.microsoft.com/office/drawing/2014/main" id="{00000000-0008-0000-0A00-00001E000000}"/>
              </a:ext>
            </a:extLst>
          </xdr:cNvPr>
          <xdr:cNvGrpSpPr/>
        </xdr:nvGrpSpPr>
        <xdr:grpSpPr>
          <a:xfrm>
            <a:off x="3556000" y="304800"/>
            <a:ext cx="3660385" cy="2940708"/>
            <a:chOff x="3556000" y="304800"/>
            <a:chExt cx="3660385" cy="2940708"/>
          </a:xfrm>
        </xdr:grpSpPr>
        <xdr:sp macro="" textlink="">
          <xdr:nvSpPr>
            <xdr:cNvPr id="8" name="Boundary Box">
              <a:extLst>
                <a:ext uri="{FF2B5EF4-FFF2-40B4-BE49-F238E27FC236}">
                  <a16:creationId xmlns:a16="http://schemas.microsoft.com/office/drawing/2014/main" id="{00000000-0008-0000-0A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Gas Lift Petroleum Extraction: System Boundary</a:t>
              </a:r>
            </a:p>
          </xdr:txBody>
        </xdr:sp>
        <xdr:sp macro="" textlink="">
          <xdr:nvSpPr>
            <xdr:cNvPr id="9" name="Process">
              <a:extLst>
                <a:ext uri="{FF2B5EF4-FFF2-40B4-BE49-F238E27FC236}">
                  <a16:creationId xmlns:a16="http://schemas.microsoft.com/office/drawing/2014/main" id="{00000000-0008-0000-0A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Petroleum production by injecting gas into production tubing</a:t>
              </a:r>
            </a:p>
          </xdr:txBody>
        </xdr:sp>
        <xdr:sp macro="" textlink="">
          <xdr:nvSpPr>
            <xdr:cNvPr id="12" name="Link 1">
              <a:extLst>
                <a:ext uri="{FF2B5EF4-FFF2-40B4-BE49-F238E27FC236}">
                  <a16:creationId xmlns:a16="http://schemas.microsoft.com/office/drawing/2014/main" id="{00000000-0008-0000-0A00-00000C000000}"/>
                </a:ext>
              </a:extLst>
            </xdr:cNvPr>
            <xdr:cNvSpPr/>
          </xdr:nvSpPr>
          <xdr:spPr>
            <a:xfrm>
              <a:off x="3556000" y="304800"/>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a:extLst>
                <a:ext uri="{FF2B5EF4-FFF2-40B4-BE49-F238E27FC236}">
                  <a16:creationId xmlns:a16="http://schemas.microsoft.com/office/drawing/2014/main" id="{00000000-0008-0000-0A00-00000F000000}"/>
                </a:ext>
              </a:extLst>
            </xdr:cNvPr>
            <xdr:cNvSpPr/>
          </xdr:nvSpPr>
          <xdr:spPr>
            <a:xfrm>
              <a:off x="3556000" y="774192"/>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a:extLst>
                <a:ext uri="{FF2B5EF4-FFF2-40B4-BE49-F238E27FC236}">
                  <a16:creationId xmlns:a16="http://schemas.microsoft.com/office/drawing/2014/main" id="{00000000-0008-0000-0A00-000012000000}"/>
                </a:ext>
              </a:extLst>
            </xdr:cNvPr>
            <xdr:cNvSpPr/>
          </xdr:nvSpPr>
          <xdr:spPr>
            <a:xfrm>
              <a:off x="3556000" y="1243584"/>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4">
              <a:extLst>
                <a:ext uri="{FF2B5EF4-FFF2-40B4-BE49-F238E27FC236}">
                  <a16:creationId xmlns:a16="http://schemas.microsoft.com/office/drawing/2014/main" id="{00000000-0008-0000-0A00-000015000000}"/>
                </a:ext>
              </a:extLst>
            </xdr:cNvPr>
            <xdr:cNvSpPr/>
          </xdr:nvSpPr>
          <xdr:spPr>
            <a:xfrm>
              <a:off x="3556000" y="1712976"/>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 5">
              <a:extLst>
                <a:ext uri="{FF2B5EF4-FFF2-40B4-BE49-F238E27FC236}">
                  <a16:creationId xmlns:a16="http://schemas.microsoft.com/office/drawing/2014/main" id="{00000000-0008-0000-0A00-000018000000}"/>
                </a:ext>
              </a:extLst>
            </xdr:cNvPr>
            <xdr:cNvSpPr/>
          </xdr:nvSpPr>
          <xdr:spPr>
            <a:xfrm>
              <a:off x="3556000" y="2182368"/>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Link 6">
              <a:extLst>
                <a:ext uri="{FF2B5EF4-FFF2-40B4-BE49-F238E27FC236}">
                  <a16:creationId xmlns:a16="http://schemas.microsoft.com/office/drawing/2014/main" id="{00000000-0008-0000-0A00-00001B000000}"/>
                </a:ext>
              </a:extLst>
            </xdr:cNvPr>
            <xdr:cNvSpPr/>
          </xdr:nvSpPr>
          <xdr:spPr>
            <a:xfrm>
              <a:off x="3556000" y="2651760"/>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8" name="Upstream Emssion Data 6">
            <a:extLst>
              <a:ext uri="{FF2B5EF4-FFF2-40B4-BE49-F238E27FC236}">
                <a16:creationId xmlns:a16="http://schemas.microsoft.com/office/drawing/2014/main" id="{00000000-0008-0000-0A00-00001C000000}"/>
              </a:ext>
            </a:extLst>
          </xdr:cNvPr>
          <xdr:cNvSpPr/>
        </xdr:nvSpPr>
        <xdr:spPr>
          <a:xfrm>
            <a:off x="1778000" y="260468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LPG, combusted in turbine [Natural gas products]</a:t>
            </a:r>
          </a:p>
        </xdr:txBody>
      </xdr:sp>
      <xdr:cxnSp macro="">
        <xdr:nvCxnSpPr>
          <xdr:cNvPr id="29" name="Straight Arrow Connector 6">
            <a:extLst>
              <a:ext uri="{FF2B5EF4-FFF2-40B4-BE49-F238E27FC236}">
                <a16:creationId xmlns:a16="http://schemas.microsoft.com/office/drawing/2014/main" id="{00000000-0008-0000-0A00-00001D000000}"/>
              </a:ext>
            </a:extLst>
          </xdr:cNvPr>
          <xdr:cNvCxnSpPr>
            <a:stCxn id="28" idx="2"/>
            <a:endCxn id="27" idx="1"/>
          </xdr:cNvCxnSpPr>
        </xdr:nvCxnSpPr>
        <xdr:spPr>
          <a:xfrm flipV="1">
            <a:off x="3175701" y="2886456"/>
            <a:ext cx="380299" cy="6679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ebbook.nist.gov/chemistry/flui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8"/>
  <sheetViews>
    <sheetView tabSelected="1" zoomScaleNormal="100" workbookViewId="0">
      <selection activeCell="M22" sqref="M22"/>
    </sheetView>
  </sheetViews>
  <sheetFormatPr defaultColWidth="9.140625" defaultRowHeight="12.75"/>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c r="A1" s="345" t="s">
        <v>0</v>
      </c>
      <c r="B1" s="345"/>
      <c r="C1" s="345"/>
      <c r="D1" s="345"/>
      <c r="E1" s="345"/>
      <c r="F1" s="345"/>
      <c r="G1" s="345"/>
      <c r="H1" s="345"/>
      <c r="I1" s="345"/>
      <c r="J1" s="345"/>
      <c r="K1" s="345"/>
      <c r="L1" s="345"/>
      <c r="M1" s="345"/>
      <c r="N1" s="345"/>
      <c r="O1" s="1"/>
    </row>
    <row r="2" spans="1:27" ht="21" thickBot="1">
      <c r="A2" s="345" t="s">
        <v>1</v>
      </c>
      <c r="B2" s="345"/>
      <c r="C2" s="345"/>
      <c r="D2" s="345"/>
      <c r="E2" s="345"/>
      <c r="F2" s="345"/>
      <c r="G2" s="345"/>
      <c r="H2" s="345"/>
      <c r="I2" s="345"/>
      <c r="J2" s="345"/>
      <c r="K2" s="345"/>
      <c r="L2" s="345"/>
      <c r="M2" s="345"/>
      <c r="N2" s="345"/>
      <c r="O2" s="1"/>
    </row>
    <row r="3" spans="1:27" ht="12.75" customHeight="1" thickBot="1">
      <c r="B3" s="2"/>
      <c r="C3" s="4" t="s">
        <v>2</v>
      </c>
      <c r="D3" s="5" t="str">
        <f>'Data Summary'!D4</f>
        <v>Gas Lift Petroleum Extraction</v>
      </c>
      <c r="E3" s="6"/>
      <c r="F3" s="6"/>
      <c r="G3" s="6"/>
      <c r="H3" s="6"/>
      <c r="I3" s="6"/>
      <c r="J3" s="6"/>
      <c r="K3" s="6"/>
      <c r="L3" s="6"/>
      <c r="M3" s="7"/>
      <c r="N3" s="2"/>
      <c r="O3" s="2"/>
    </row>
    <row r="4" spans="1:27" ht="42.75" customHeight="1" thickBot="1">
      <c r="B4" s="2"/>
      <c r="C4" s="4" t="s">
        <v>3</v>
      </c>
      <c r="D4" s="346" t="str">
        <f>'Data Summary'!D6</f>
        <v>Petroleum production by injecting gas into production tubing</v>
      </c>
      <c r="E4" s="347"/>
      <c r="F4" s="347"/>
      <c r="G4" s="347"/>
      <c r="H4" s="347"/>
      <c r="I4" s="347"/>
      <c r="J4" s="347"/>
      <c r="K4" s="347"/>
      <c r="L4" s="347"/>
      <c r="M4" s="348"/>
      <c r="N4" s="2"/>
      <c r="O4" s="2"/>
    </row>
    <row r="5" spans="1:27" ht="39" customHeight="1" thickBot="1">
      <c r="B5" s="2"/>
      <c r="C5" s="4" t="s">
        <v>4</v>
      </c>
      <c r="D5" s="349" t="s">
        <v>843</v>
      </c>
      <c r="E5" s="350"/>
      <c r="F5" s="350"/>
      <c r="G5" s="350"/>
      <c r="H5" s="350"/>
      <c r="I5" s="350"/>
      <c r="J5" s="350"/>
      <c r="K5" s="350"/>
      <c r="L5" s="350"/>
      <c r="M5" s="351"/>
      <c r="N5" s="2"/>
      <c r="O5" s="2"/>
    </row>
    <row r="6" spans="1:27" ht="56.25" customHeight="1" thickBot="1">
      <c r="B6" s="2"/>
      <c r="C6" s="8" t="s">
        <v>5</v>
      </c>
      <c r="D6" s="349" t="s">
        <v>6</v>
      </c>
      <c r="E6" s="350"/>
      <c r="F6" s="350"/>
      <c r="G6" s="350"/>
      <c r="H6" s="350"/>
      <c r="I6" s="350"/>
      <c r="J6" s="350"/>
      <c r="K6" s="350"/>
      <c r="L6" s="350"/>
      <c r="M6" s="351"/>
      <c r="N6" s="2"/>
      <c r="O6" s="2"/>
    </row>
    <row r="7" spans="1:27">
      <c r="B7" s="9" t="s">
        <v>7</v>
      </c>
      <c r="C7" s="9"/>
      <c r="D7" s="9"/>
      <c r="E7" s="9"/>
      <c r="F7" s="9"/>
      <c r="G7" s="9"/>
      <c r="H7" s="9"/>
      <c r="I7" s="9"/>
      <c r="J7" s="9"/>
      <c r="K7" s="9"/>
      <c r="L7" s="9"/>
      <c r="M7" s="9"/>
      <c r="N7" s="2"/>
      <c r="O7" s="2"/>
    </row>
    <row r="8" spans="1:27" ht="13.5" thickBot="1">
      <c r="B8" s="9"/>
      <c r="C8" s="9" t="s">
        <v>8</v>
      </c>
      <c r="D8" s="9" t="s">
        <v>9</v>
      </c>
      <c r="E8" s="9"/>
      <c r="F8" s="9"/>
      <c r="G8" s="9"/>
      <c r="H8" s="9"/>
      <c r="I8" s="9"/>
      <c r="J8" s="9"/>
      <c r="K8" s="9"/>
      <c r="L8" s="9"/>
      <c r="M8" s="9"/>
      <c r="N8" s="2"/>
      <c r="O8" s="2"/>
    </row>
    <row r="9" spans="1:27" s="11" customFormat="1" ht="15" customHeight="1">
      <c r="A9" s="2"/>
      <c r="B9" s="352" t="s">
        <v>10</v>
      </c>
      <c r="C9" s="10" t="s">
        <v>11</v>
      </c>
      <c r="D9" s="354" t="s">
        <v>12</v>
      </c>
      <c r="E9" s="354"/>
      <c r="F9" s="354"/>
      <c r="G9" s="354"/>
      <c r="H9" s="354"/>
      <c r="I9" s="354"/>
      <c r="J9" s="354"/>
      <c r="K9" s="354"/>
      <c r="L9" s="354"/>
      <c r="M9" s="355"/>
      <c r="N9" s="2"/>
      <c r="O9" s="2"/>
      <c r="P9" s="2"/>
      <c r="Q9" s="2"/>
      <c r="R9" s="2"/>
      <c r="S9" s="2"/>
      <c r="T9" s="2"/>
      <c r="U9" s="2"/>
      <c r="V9" s="2"/>
      <c r="W9" s="2"/>
      <c r="X9" s="2"/>
      <c r="Y9" s="2"/>
      <c r="Z9" s="2"/>
      <c r="AA9" s="2"/>
    </row>
    <row r="10" spans="1:27" s="11" customFormat="1" ht="15" customHeight="1">
      <c r="A10" s="2"/>
      <c r="B10" s="353"/>
      <c r="C10" s="12" t="s">
        <v>13</v>
      </c>
      <c r="D10" s="356" t="s">
        <v>14</v>
      </c>
      <c r="E10" s="356"/>
      <c r="F10" s="356"/>
      <c r="G10" s="356"/>
      <c r="H10" s="356"/>
      <c r="I10" s="356"/>
      <c r="J10" s="356"/>
      <c r="K10" s="356"/>
      <c r="L10" s="356"/>
      <c r="M10" s="357"/>
      <c r="N10" s="2"/>
      <c r="O10" s="2"/>
      <c r="P10" s="2"/>
      <c r="Q10" s="2"/>
      <c r="R10" s="2"/>
      <c r="S10" s="2"/>
      <c r="T10" s="2"/>
      <c r="U10" s="2"/>
      <c r="V10" s="2"/>
      <c r="W10" s="2"/>
      <c r="X10" s="2"/>
      <c r="Y10" s="2"/>
      <c r="Z10" s="2"/>
      <c r="AA10" s="2"/>
    </row>
    <row r="11" spans="1:27" s="11" customFormat="1" ht="15" customHeight="1">
      <c r="A11" s="2"/>
      <c r="B11" s="353"/>
      <c r="C11" s="12" t="s">
        <v>15</v>
      </c>
      <c r="D11" s="356" t="s">
        <v>16</v>
      </c>
      <c r="E11" s="356"/>
      <c r="F11" s="356"/>
      <c r="G11" s="356"/>
      <c r="H11" s="356"/>
      <c r="I11" s="356"/>
      <c r="J11" s="356"/>
      <c r="K11" s="356"/>
      <c r="L11" s="356"/>
      <c r="M11" s="357"/>
      <c r="N11" s="2"/>
      <c r="O11" s="2"/>
      <c r="P11" s="2"/>
      <c r="Q11" s="2"/>
      <c r="R11" s="2"/>
      <c r="S11" s="2"/>
      <c r="T11" s="2"/>
      <c r="U11" s="2"/>
      <c r="V11" s="2"/>
      <c r="W11" s="2"/>
      <c r="X11" s="2"/>
      <c r="Y11" s="2"/>
      <c r="Z11" s="2"/>
      <c r="AA11" s="2"/>
    </row>
    <row r="12" spans="1:27" s="11" customFormat="1" ht="15" customHeight="1">
      <c r="A12" s="2"/>
      <c r="B12" s="353"/>
      <c r="C12" s="12" t="s">
        <v>17</v>
      </c>
      <c r="D12" s="356" t="s">
        <v>18</v>
      </c>
      <c r="E12" s="356"/>
      <c r="F12" s="356"/>
      <c r="G12" s="356"/>
      <c r="H12" s="356"/>
      <c r="I12" s="356"/>
      <c r="J12" s="356"/>
      <c r="K12" s="356"/>
      <c r="L12" s="356"/>
      <c r="M12" s="357"/>
      <c r="N12" s="2"/>
      <c r="O12" s="2"/>
      <c r="P12" s="2"/>
      <c r="Q12" s="2"/>
      <c r="R12" s="2"/>
      <c r="S12" s="2"/>
      <c r="T12" s="2"/>
      <c r="U12" s="2"/>
      <c r="V12" s="2"/>
      <c r="W12" s="2"/>
      <c r="X12" s="2"/>
      <c r="Y12" s="2"/>
      <c r="Z12" s="2"/>
      <c r="AA12" s="2"/>
    </row>
    <row r="13" spans="1:27" ht="15" customHeight="1">
      <c r="B13" s="336" t="s">
        <v>19</v>
      </c>
      <c r="C13" s="13" t="s">
        <v>943</v>
      </c>
      <c r="D13" s="338" t="s">
        <v>949</v>
      </c>
      <c r="E13" s="338"/>
      <c r="F13" s="338"/>
      <c r="G13" s="338"/>
      <c r="H13" s="338"/>
      <c r="I13" s="338"/>
      <c r="J13" s="338"/>
      <c r="K13" s="338"/>
      <c r="L13" s="338"/>
      <c r="M13" s="339"/>
      <c r="N13" s="2"/>
      <c r="O13" s="2"/>
    </row>
    <row r="14" spans="1:27" ht="15" customHeight="1">
      <c r="B14" s="336"/>
      <c r="C14" s="13" t="s">
        <v>950</v>
      </c>
      <c r="D14" s="338" t="s">
        <v>951</v>
      </c>
      <c r="E14" s="338"/>
      <c r="F14" s="338"/>
      <c r="G14" s="338"/>
      <c r="H14" s="338"/>
      <c r="I14" s="338"/>
      <c r="J14" s="338"/>
      <c r="K14" s="338"/>
      <c r="L14" s="338"/>
      <c r="M14" s="339"/>
      <c r="N14" s="2"/>
      <c r="O14" s="2"/>
    </row>
    <row r="15" spans="1:27" ht="15" customHeight="1">
      <c r="B15" s="336"/>
      <c r="C15" s="14" t="s">
        <v>20</v>
      </c>
      <c r="D15" s="340" t="s">
        <v>21</v>
      </c>
      <c r="E15" s="340"/>
      <c r="F15" s="340"/>
      <c r="G15" s="340"/>
      <c r="H15" s="340"/>
      <c r="I15" s="340"/>
      <c r="J15" s="340"/>
      <c r="K15" s="340"/>
      <c r="L15" s="340"/>
      <c r="M15" s="341"/>
      <c r="N15" s="2"/>
      <c r="O15" s="2"/>
    </row>
    <row r="16" spans="1:27" ht="15" customHeight="1">
      <c r="B16" s="336"/>
      <c r="C16" s="15" t="s">
        <v>22</v>
      </c>
      <c r="D16" s="340" t="s">
        <v>22</v>
      </c>
      <c r="E16" s="340"/>
      <c r="F16" s="340"/>
      <c r="G16" s="340"/>
      <c r="H16" s="340"/>
      <c r="I16" s="340"/>
      <c r="J16" s="340"/>
      <c r="K16" s="340"/>
      <c r="L16" s="340"/>
      <c r="M16" s="341"/>
      <c r="N16" s="2"/>
      <c r="O16" s="2"/>
    </row>
    <row r="17" spans="2:16" ht="15" customHeight="1">
      <c r="B17" s="336"/>
      <c r="C17" s="324" t="s">
        <v>787</v>
      </c>
      <c r="D17" s="344" t="s">
        <v>788</v>
      </c>
      <c r="E17" s="344"/>
      <c r="F17" s="344"/>
      <c r="G17" s="344"/>
      <c r="H17" s="344"/>
      <c r="I17" s="344"/>
      <c r="J17" s="344"/>
      <c r="K17" s="344"/>
      <c r="L17" s="344"/>
      <c r="M17" s="323"/>
      <c r="N17" s="2"/>
      <c r="O17" s="2"/>
    </row>
    <row r="18" spans="2:16" ht="15" customHeight="1">
      <c r="B18" s="336"/>
      <c r="C18" s="324" t="s">
        <v>800</v>
      </c>
      <c r="D18" s="344" t="s">
        <v>801</v>
      </c>
      <c r="E18" s="344"/>
      <c r="F18" s="344"/>
      <c r="G18" s="344"/>
      <c r="H18" s="344"/>
      <c r="I18" s="344"/>
      <c r="J18" s="344"/>
      <c r="K18" s="344"/>
      <c r="L18" s="344"/>
      <c r="M18" s="323"/>
      <c r="N18" s="2"/>
      <c r="O18" s="2"/>
    </row>
    <row r="19" spans="2:16" ht="15" customHeight="1" thickBot="1">
      <c r="B19" s="337"/>
      <c r="C19" s="16"/>
      <c r="D19" s="342"/>
      <c r="E19" s="342"/>
      <c r="F19" s="342"/>
      <c r="G19" s="342"/>
      <c r="H19" s="342"/>
      <c r="I19" s="342"/>
      <c r="J19" s="342"/>
      <c r="K19" s="342"/>
      <c r="L19" s="342"/>
      <c r="M19" s="343"/>
      <c r="N19" s="2"/>
      <c r="O19" s="2"/>
    </row>
    <row r="20" spans="2:16">
      <c r="B20" s="9"/>
      <c r="C20" s="9"/>
      <c r="D20" s="9"/>
      <c r="E20" s="9"/>
      <c r="F20" s="9"/>
      <c r="G20" s="9"/>
      <c r="H20" s="9"/>
      <c r="I20" s="9"/>
      <c r="J20" s="9"/>
      <c r="K20" s="9"/>
      <c r="L20" s="9"/>
      <c r="M20" s="9"/>
      <c r="N20" s="2"/>
      <c r="O20" s="2"/>
    </row>
    <row r="21" spans="2:16">
      <c r="B21" s="9" t="s">
        <v>23</v>
      </c>
      <c r="C21" s="9"/>
      <c r="D21" s="9"/>
      <c r="E21" s="9"/>
      <c r="F21" s="9"/>
      <c r="G21" s="9"/>
      <c r="H21" s="9"/>
      <c r="I21" s="9"/>
      <c r="J21" s="9"/>
      <c r="K21" s="9"/>
      <c r="L21" s="9"/>
      <c r="M21" s="9"/>
      <c r="N21" s="2"/>
      <c r="O21" s="2"/>
    </row>
    <row r="22" spans="2:16">
      <c r="B22" s="9"/>
      <c r="C22" s="17">
        <v>41493</v>
      </c>
      <c r="D22" s="9"/>
      <c r="E22" s="9"/>
      <c r="F22" s="9"/>
      <c r="G22" s="9"/>
      <c r="H22" s="9"/>
      <c r="I22" s="9"/>
      <c r="J22" s="9"/>
      <c r="K22" s="9"/>
      <c r="L22" s="9"/>
      <c r="M22" s="9"/>
      <c r="N22" s="2"/>
      <c r="O22" s="2"/>
    </row>
    <row r="23" spans="2:16">
      <c r="B23" s="9" t="s">
        <v>24</v>
      </c>
      <c r="C23" s="9"/>
      <c r="D23" s="9"/>
      <c r="E23" s="9"/>
      <c r="F23" s="9"/>
      <c r="G23" s="9"/>
      <c r="H23" s="9"/>
      <c r="I23" s="9"/>
      <c r="J23" s="9"/>
      <c r="K23" s="9"/>
      <c r="L23" s="9"/>
      <c r="M23" s="9"/>
      <c r="N23" s="2"/>
      <c r="O23" s="2"/>
    </row>
    <row r="24" spans="2:16">
      <c r="B24" s="9"/>
      <c r="C24" s="18" t="s">
        <v>25</v>
      </c>
      <c r="D24" s="9"/>
      <c r="E24" s="9"/>
      <c r="F24" s="9"/>
      <c r="G24" s="9"/>
      <c r="H24" s="9"/>
      <c r="I24" s="9"/>
      <c r="J24" s="9"/>
      <c r="K24" s="9"/>
      <c r="L24" s="9"/>
      <c r="M24" s="9"/>
      <c r="N24" s="2"/>
      <c r="O24" s="2"/>
    </row>
    <row r="25" spans="2:16">
      <c r="B25" s="9" t="s">
        <v>26</v>
      </c>
      <c r="C25" s="18"/>
      <c r="D25" s="9"/>
      <c r="E25" s="9"/>
      <c r="F25" s="9"/>
      <c r="G25" s="9"/>
      <c r="H25" s="9"/>
      <c r="I25" s="9"/>
      <c r="J25" s="9"/>
      <c r="K25" s="9"/>
      <c r="L25" s="9"/>
      <c r="M25" s="9"/>
      <c r="N25" s="2"/>
      <c r="O25" s="2"/>
    </row>
    <row r="26" spans="2:16">
      <c r="B26" s="9"/>
      <c r="C26" s="18" t="s">
        <v>27</v>
      </c>
      <c r="D26" s="9"/>
      <c r="E26" s="9"/>
      <c r="F26" s="9"/>
      <c r="G26" s="9"/>
      <c r="H26" s="9"/>
      <c r="I26" s="9"/>
      <c r="J26" s="9"/>
      <c r="K26" s="9"/>
      <c r="L26" s="9"/>
      <c r="M26" s="9"/>
      <c r="N26" s="2"/>
      <c r="O26" s="2"/>
    </row>
    <row r="27" spans="2:16">
      <c r="B27" s="9" t="s">
        <v>28</v>
      </c>
      <c r="C27" s="9"/>
      <c r="D27" s="9"/>
      <c r="E27" s="9"/>
      <c r="F27" s="9"/>
      <c r="G27" s="9"/>
      <c r="H27" s="9"/>
      <c r="I27" s="9"/>
      <c r="J27" s="9"/>
      <c r="K27" s="9"/>
      <c r="L27" s="9"/>
      <c r="M27" s="9"/>
      <c r="N27" s="2"/>
      <c r="O27" s="2"/>
    </row>
    <row r="28" spans="2:16" ht="38.25" customHeight="1">
      <c r="B28" s="9"/>
      <c r="C28" s="334" t="str">
        <f>"This document should be cited as: NETL (2013). NETL Life Cycle Inventory Data – Unit Process: "&amp;D3&amp;". U.S. Department of Energy, National Energy Technology Laboratory. Last Updated: August 2013 (version 01). www.netl.doe.gov/LCA (http://www.netl.doe.gov/LCA)"</f>
        <v>This document should be cited as: NETL (2013). NETL Life Cycle Inventory Data – Unit Process: Gas Lift Petroleum Extraction. U.S. Department of Energy, National Energy Technology Laboratory. Last Updated: August 2013 (version 01). www.netl.doe.gov/LCA (http://www.netl.doe.gov/LCA)</v>
      </c>
      <c r="D28" s="334"/>
      <c r="E28" s="334"/>
      <c r="F28" s="334"/>
      <c r="G28" s="334"/>
      <c r="H28" s="334"/>
      <c r="I28" s="334"/>
      <c r="J28" s="334"/>
      <c r="K28" s="334"/>
      <c r="L28" s="334"/>
      <c r="M28" s="334"/>
      <c r="N28" s="2"/>
      <c r="O28" s="2"/>
    </row>
    <row r="29" spans="2:16">
      <c r="B29" s="9" t="s">
        <v>29</v>
      </c>
      <c r="C29" s="9"/>
      <c r="D29" s="9"/>
      <c r="E29" s="9"/>
      <c r="F29" s="9"/>
      <c r="G29" s="18"/>
      <c r="H29" s="18"/>
      <c r="I29" s="18"/>
      <c r="J29" s="18"/>
      <c r="K29" s="18"/>
      <c r="L29" s="18"/>
      <c r="M29" s="18"/>
      <c r="N29" s="2"/>
      <c r="O29" s="2"/>
    </row>
    <row r="30" spans="2:16">
      <c r="B30" s="18"/>
      <c r="C30" s="18" t="s">
        <v>30</v>
      </c>
      <c r="D30" s="18"/>
      <c r="E30" s="19" t="s">
        <v>31</v>
      </c>
      <c r="F30" s="20"/>
      <c r="G30" s="18" t="s">
        <v>32</v>
      </c>
      <c r="H30" s="18"/>
      <c r="I30" s="18"/>
      <c r="J30" s="18"/>
      <c r="K30" s="18"/>
      <c r="L30" s="18"/>
      <c r="M30" s="18"/>
      <c r="N30" s="2"/>
      <c r="O30" s="2"/>
      <c r="P30" s="18"/>
    </row>
    <row r="31" spans="2:16">
      <c r="B31" s="18"/>
      <c r="C31" s="18" t="s">
        <v>33</v>
      </c>
      <c r="D31" s="18"/>
      <c r="E31" s="18"/>
      <c r="F31" s="18"/>
      <c r="G31" s="18"/>
      <c r="H31" s="18"/>
      <c r="I31" s="18"/>
      <c r="J31" s="18"/>
      <c r="K31" s="18"/>
      <c r="L31" s="18"/>
      <c r="M31" s="18"/>
      <c r="N31" s="2"/>
      <c r="O31" s="2"/>
      <c r="P31" s="18"/>
    </row>
    <row r="32" spans="2:16">
      <c r="B32" s="18"/>
      <c r="C32" s="18" t="s">
        <v>34</v>
      </c>
      <c r="D32" s="18"/>
      <c r="E32" s="18"/>
      <c r="F32" s="18"/>
      <c r="G32" s="18"/>
      <c r="H32" s="18"/>
      <c r="I32" s="18"/>
      <c r="J32" s="18"/>
      <c r="K32" s="18"/>
      <c r="L32" s="18"/>
      <c r="M32" s="18"/>
      <c r="N32" s="18"/>
      <c r="O32" s="18"/>
      <c r="P32" s="18"/>
    </row>
    <row r="33" spans="2:16">
      <c r="B33" s="18"/>
      <c r="C33" s="335" t="s">
        <v>35</v>
      </c>
      <c r="D33" s="335"/>
      <c r="E33" s="335"/>
      <c r="F33" s="335"/>
      <c r="G33" s="335"/>
      <c r="H33" s="335"/>
      <c r="I33" s="335"/>
      <c r="J33" s="335"/>
      <c r="K33" s="335"/>
      <c r="L33" s="335"/>
      <c r="M33" s="335"/>
      <c r="N33" s="18"/>
      <c r="O33" s="18"/>
      <c r="P33" s="18"/>
    </row>
    <row r="34" spans="2:16">
      <c r="B34" s="18"/>
      <c r="C34" s="18"/>
      <c r="D34" s="18"/>
      <c r="E34" s="18"/>
      <c r="F34" s="18"/>
      <c r="G34" s="18"/>
      <c r="H34" s="18"/>
      <c r="I34" s="18"/>
      <c r="J34" s="18"/>
      <c r="K34" s="18"/>
      <c r="L34" s="18"/>
      <c r="M34" s="18"/>
      <c r="N34" s="18"/>
      <c r="O34" s="18"/>
    </row>
    <row r="35" spans="2:16">
      <c r="B35" s="9" t="s">
        <v>36</v>
      </c>
      <c r="C35" s="18"/>
      <c r="D35" s="18"/>
      <c r="E35" s="18"/>
      <c r="F35" s="18"/>
      <c r="G35" s="18"/>
      <c r="H35" s="18"/>
      <c r="I35" s="18"/>
      <c r="J35" s="18"/>
      <c r="K35" s="18"/>
      <c r="L35" s="18"/>
      <c r="M35" s="18"/>
      <c r="N35" s="18"/>
      <c r="O35" s="18"/>
    </row>
    <row r="36" spans="2:16">
      <c r="B36" s="18"/>
      <c r="C36" s="18"/>
      <c r="D36" s="18"/>
      <c r="E36" s="18"/>
      <c r="F36" s="18"/>
      <c r="G36" s="18"/>
      <c r="H36" s="18"/>
      <c r="I36" s="18"/>
      <c r="J36" s="18"/>
      <c r="K36" s="18"/>
      <c r="L36" s="18"/>
      <c r="M36" s="18"/>
      <c r="N36" s="18"/>
      <c r="O36" s="18"/>
    </row>
    <row r="37" spans="2:16">
      <c r="B37" s="18"/>
      <c r="C37" s="18"/>
      <c r="D37" s="18"/>
      <c r="E37" s="18"/>
      <c r="F37" s="18"/>
      <c r="G37" s="18"/>
      <c r="H37" s="18"/>
      <c r="I37" s="18"/>
      <c r="J37" s="18"/>
      <c r="K37" s="18"/>
      <c r="L37" s="18"/>
      <c r="M37" s="18"/>
      <c r="N37" s="18"/>
      <c r="O37" s="18"/>
    </row>
    <row r="38" spans="2:16">
      <c r="B38" s="18"/>
      <c r="C38" s="18"/>
      <c r="D38" s="18"/>
      <c r="E38" s="18"/>
      <c r="F38" s="18"/>
      <c r="G38" s="18"/>
      <c r="H38" s="18"/>
      <c r="I38" s="18"/>
      <c r="J38" s="18"/>
      <c r="K38" s="18"/>
      <c r="L38" s="18"/>
      <c r="M38" s="18"/>
      <c r="N38" s="18"/>
      <c r="O38" s="18"/>
    </row>
    <row r="39" spans="2:16">
      <c r="B39" s="18"/>
      <c r="C39" s="18"/>
      <c r="D39" s="18"/>
      <c r="E39" s="18"/>
      <c r="F39" s="18"/>
      <c r="G39" s="18"/>
      <c r="H39" s="18"/>
      <c r="I39" s="18"/>
      <c r="J39" s="18"/>
      <c r="K39" s="18"/>
      <c r="L39" s="18"/>
      <c r="M39" s="18"/>
      <c r="N39" s="18"/>
      <c r="O39" s="18"/>
    </row>
    <row r="40" spans="2:16">
      <c r="B40" s="18"/>
      <c r="C40" s="18"/>
      <c r="D40" s="18"/>
      <c r="E40" s="18"/>
      <c r="F40" s="18"/>
      <c r="G40" s="18"/>
      <c r="H40" s="18"/>
      <c r="I40" s="18"/>
      <c r="J40" s="18"/>
      <c r="K40" s="18"/>
      <c r="L40" s="18"/>
      <c r="M40" s="18"/>
      <c r="N40" s="18"/>
      <c r="O40" s="18"/>
    </row>
    <row r="41" spans="2:16">
      <c r="B41" s="18"/>
      <c r="C41" s="18"/>
      <c r="D41" s="18"/>
      <c r="E41" s="18"/>
      <c r="F41" s="18"/>
      <c r="G41" s="18"/>
      <c r="H41" s="18"/>
      <c r="I41" s="18"/>
      <c r="J41" s="18"/>
      <c r="K41" s="18"/>
      <c r="L41" s="18"/>
      <c r="M41" s="18"/>
      <c r="N41" s="18"/>
      <c r="O41" s="18"/>
    </row>
    <row r="42" spans="2:16">
      <c r="B42" s="18"/>
      <c r="C42" s="18"/>
      <c r="D42" s="18"/>
      <c r="E42" s="18"/>
      <c r="F42" s="18"/>
      <c r="G42" s="18"/>
      <c r="H42" s="18"/>
      <c r="I42" s="18"/>
      <c r="J42" s="18"/>
      <c r="K42" s="18"/>
      <c r="L42" s="18"/>
      <c r="M42" s="18"/>
      <c r="N42" s="18"/>
      <c r="O42" s="18"/>
    </row>
    <row r="43" spans="2:16">
      <c r="B43" s="18"/>
      <c r="C43" s="18"/>
      <c r="D43" s="18"/>
      <c r="E43" s="18"/>
      <c r="F43" s="18"/>
      <c r="G43" s="18"/>
      <c r="H43" s="18"/>
      <c r="I43" s="18"/>
      <c r="J43" s="18"/>
      <c r="K43" s="18"/>
      <c r="L43" s="18"/>
      <c r="M43" s="18"/>
      <c r="N43" s="18"/>
      <c r="O43" s="18"/>
    </row>
    <row r="44" spans="2:16">
      <c r="B44" s="18"/>
      <c r="C44" s="18"/>
      <c r="D44" s="18"/>
      <c r="E44" s="18"/>
      <c r="F44" s="18"/>
      <c r="G44" s="18"/>
      <c r="H44" s="18"/>
      <c r="I44" s="18"/>
      <c r="J44" s="18"/>
      <c r="K44" s="18"/>
      <c r="L44" s="18"/>
      <c r="M44" s="18"/>
      <c r="N44" s="18"/>
      <c r="O44" s="18"/>
    </row>
    <row r="45" spans="2:16">
      <c r="B45" s="18"/>
      <c r="C45" s="18"/>
      <c r="D45" s="18"/>
      <c r="E45" s="18"/>
      <c r="F45" s="18"/>
      <c r="G45" s="18"/>
      <c r="H45" s="18"/>
      <c r="I45" s="18"/>
      <c r="J45" s="18"/>
      <c r="K45" s="18"/>
      <c r="L45" s="18"/>
      <c r="M45" s="18"/>
      <c r="N45" s="18"/>
      <c r="O45" s="18"/>
    </row>
    <row r="46" spans="2:16">
      <c r="B46" s="18"/>
      <c r="C46" s="18"/>
      <c r="D46" s="18"/>
      <c r="E46" s="18"/>
      <c r="F46" s="18"/>
      <c r="G46" s="18"/>
      <c r="H46" s="18"/>
      <c r="I46" s="18"/>
      <c r="J46" s="18"/>
      <c r="K46" s="18"/>
      <c r="L46" s="18"/>
      <c r="M46" s="18"/>
      <c r="N46" s="18"/>
      <c r="O46" s="18"/>
    </row>
    <row r="47" spans="2:16">
      <c r="B47" s="18"/>
      <c r="C47" s="18"/>
      <c r="D47" s="18"/>
      <c r="E47" s="18"/>
      <c r="F47" s="18"/>
      <c r="G47" s="18"/>
      <c r="H47" s="18"/>
      <c r="I47" s="18"/>
      <c r="J47" s="18"/>
      <c r="K47" s="18"/>
      <c r="L47" s="18"/>
      <c r="M47" s="18"/>
      <c r="N47" s="18"/>
      <c r="O47" s="18"/>
    </row>
    <row r="48" spans="2:16">
      <c r="B48" s="18"/>
      <c r="C48" s="18"/>
      <c r="D48" s="18"/>
      <c r="E48" s="18"/>
      <c r="F48" s="18"/>
      <c r="G48" s="18"/>
      <c r="H48" s="18"/>
      <c r="I48" s="18"/>
      <c r="J48" s="18"/>
      <c r="K48" s="18"/>
      <c r="L48" s="18"/>
      <c r="M48" s="18"/>
      <c r="N48" s="18"/>
      <c r="O48" s="18"/>
    </row>
    <row r="49" spans="2:15">
      <c r="B49" s="18"/>
      <c r="C49" s="18"/>
      <c r="D49" s="18"/>
      <c r="E49" s="18"/>
      <c r="F49" s="18"/>
      <c r="G49" s="18"/>
      <c r="H49" s="18"/>
      <c r="I49" s="18"/>
      <c r="J49" s="18"/>
      <c r="K49" s="18"/>
      <c r="L49" s="18"/>
      <c r="M49" s="18"/>
      <c r="N49" s="18"/>
      <c r="O49" s="18"/>
    </row>
    <row r="50" spans="2:15">
      <c r="B50" s="18"/>
      <c r="C50" s="18"/>
      <c r="D50" s="18"/>
      <c r="E50" s="18"/>
      <c r="F50" s="18"/>
      <c r="G50" s="18"/>
      <c r="H50" s="18"/>
      <c r="I50" s="18"/>
      <c r="J50" s="18"/>
      <c r="K50" s="18"/>
      <c r="L50" s="18"/>
      <c r="M50" s="18"/>
      <c r="N50" s="18"/>
      <c r="O50" s="18"/>
    </row>
    <row r="51" spans="2:15">
      <c r="B51" s="9" t="s">
        <v>37</v>
      </c>
      <c r="C51" s="18"/>
      <c r="D51" s="18"/>
      <c r="E51" s="18"/>
      <c r="F51" s="18"/>
      <c r="G51" s="18"/>
      <c r="H51" s="18"/>
      <c r="I51" s="18"/>
      <c r="J51" s="18"/>
      <c r="K51" s="18"/>
      <c r="L51" s="18"/>
      <c r="M51" s="18"/>
      <c r="N51" s="18"/>
      <c r="O51" s="18"/>
    </row>
    <row r="52" spans="2:15">
      <c r="B52" s="18"/>
      <c r="C52" s="21" t="s">
        <v>38</v>
      </c>
      <c r="D52" s="18"/>
      <c r="E52" s="18"/>
      <c r="F52" s="18"/>
      <c r="G52" s="18"/>
      <c r="H52" s="18"/>
      <c r="I52" s="18"/>
      <c r="J52" s="18"/>
      <c r="K52" s="18"/>
      <c r="L52" s="18"/>
      <c r="M52" s="18"/>
      <c r="N52" s="18"/>
      <c r="O52" s="18"/>
    </row>
    <row r="53" spans="2:15">
      <c r="B53" s="18"/>
      <c r="C53" s="18"/>
      <c r="D53" s="18"/>
      <c r="E53" s="18"/>
      <c r="F53" s="18"/>
      <c r="G53" s="18"/>
      <c r="H53" s="18"/>
      <c r="I53" s="18"/>
      <c r="J53" s="18"/>
      <c r="K53" s="18"/>
      <c r="L53" s="18"/>
      <c r="M53" s="18"/>
      <c r="N53" s="18"/>
      <c r="O53" s="18"/>
    </row>
    <row r="54" spans="2:15">
      <c r="B54" s="18"/>
      <c r="C54" s="18"/>
      <c r="D54" s="18"/>
      <c r="E54" s="18"/>
      <c r="F54" s="18"/>
      <c r="G54" s="18"/>
      <c r="H54" s="18"/>
      <c r="I54" s="18"/>
      <c r="J54" s="18"/>
      <c r="K54" s="18"/>
      <c r="L54" s="18"/>
      <c r="M54" s="18"/>
      <c r="N54" s="18"/>
      <c r="O54" s="18"/>
    </row>
    <row r="55" spans="2:15">
      <c r="B55" s="18"/>
      <c r="C55" s="18"/>
      <c r="D55" s="18"/>
      <c r="E55" s="18"/>
      <c r="F55" s="18"/>
      <c r="G55" s="18"/>
      <c r="H55" s="18"/>
      <c r="I55" s="18"/>
      <c r="J55" s="18"/>
      <c r="K55" s="18"/>
      <c r="L55" s="18"/>
      <c r="M55" s="18"/>
      <c r="N55" s="18"/>
      <c r="O55" s="18"/>
    </row>
    <row r="56" spans="2:15">
      <c r="B56" s="18"/>
      <c r="C56" s="18"/>
      <c r="D56" s="18"/>
      <c r="E56" s="18"/>
      <c r="F56" s="18"/>
      <c r="G56" s="18"/>
      <c r="H56" s="18"/>
      <c r="I56" s="18"/>
      <c r="J56" s="18"/>
      <c r="K56" s="18"/>
      <c r="L56" s="18"/>
      <c r="M56" s="18"/>
      <c r="N56" s="18"/>
      <c r="O56" s="18"/>
    </row>
    <row r="57" spans="2:15">
      <c r="B57" s="18"/>
      <c r="C57" s="18"/>
      <c r="D57" s="18"/>
      <c r="E57" s="18"/>
      <c r="F57" s="18"/>
      <c r="G57" s="18"/>
      <c r="H57" s="18"/>
      <c r="I57" s="18"/>
      <c r="J57" s="18"/>
      <c r="K57" s="18"/>
      <c r="L57" s="18"/>
      <c r="M57" s="18"/>
      <c r="N57" s="18"/>
      <c r="O57" s="18"/>
    </row>
    <row r="58" spans="2:15">
      <c r="B58" s="18"/>
      <c r="C58" s="18"/>
      <c r="D58" s="18"/>
      <c r="E58" s="18"/>
      <c r="F58" s="18"/>
      <c r="G58" s="18"/>
      <c r="H58" s="18"/>
      <c r="I58" s="18"/>
      <c r="J58" s="18"/>
      <c r="K58" s="18"/>
      <c r="L58" s="18"/>
      <c r="M58" s="18"/>
      <c r="N58" s="18"/>
      <c r="O58" s="18"/>
    </row>
    <row r="59" spans="2:15">
      <c r="B59" s="18"/>
      <c r="C59" s="18"/>
      <c r="D59" s="18"/>
      <c r="E59" s="18"/>
      <c r="F59" s="18"/>
      <c r="G59" s="18"/>
      <c r="H59" s="18"/>
      <c r="I59" s="18"/>
      <c r="J59" s="18"/>
      <c r="K59" s="18"/>
      <c r="L59" s="18"/>
      <c r="M59" s="18"/>
      <c r="N59" s="18"/>
      <c r="O59" s="18"/>
    </row>
    <row r="60" spans="2:15">
      <c r="B60" s="18"/>
      <c r="C60" s="18"/>
      <c r="D60" s="18"/>
      <c r="E60" s="18"/>
      <c r="F60" s="18"/>
      <c r="G60" s="18"/>
      <c r="H60" s="18"/>
      <c r="I60" s="18"/>
      <c r="J60" s="18"/>
      <c r="K60" s="18"/>
      <c r="L60" s="18"/>
      <c r="M60" s="18"/>
      <c r="N60" s="18"/>
      <c r="O60" s="18"/>
    </row>
    <row r="61" spans="2:15">
      <c r="B61" s="18"/>
      <c r="C61" s="18"/>
      <c r="D61" s="18"/>
      <c r="E61" s="18"/>
      <c r="F61" s="18"/>
      <c r="G61" s="18"/>
      <c r="H61" s="18"/>
      <c r="I61" s="18"/>
      <c r="J61" s="18"/>
      <c r="K61" s="18"/>
      <c r="L61" s="18"/>
      <c r="M61" s="18"/>
      <c r="N61" s="18"/>
      <c r="O61" s="18"/>
    </row>
    <row r="62" spans="2:15">
      <c r="B62" s="18"/>
      <c r="C62" s="18"/>
      <c r="D62" s="18"/>
      <c r="E62" s="18"/>
      <c r="F62" s="18"/>
      <c r="G62" s="18"/>
      <c r="H62" s="18"/>
      <c r="I62" s="18"/>
      <c r="J62" s="18"/>
      <c r="K62" s="18"/>
      <c r="L62" s="18"/>
      <c r="M62" s="18"/>
      <c r="N62" s="18"/>
      <c r="O62" s="18"/>
    </row>
    <row r="63" spans="2:15">
      <c r="B63" s="18"/>
      <c r="C63" s="18"/>
      <c r="D63" s="18"/>
      <c r="E63" s="18"/>
      <c r="F63" s="18"/>
      <c r="G63" s="18"/>
      <c r="H63" s="18"/>
      <c r="I63" s="18"/>
      <c r="J63" s="18"/>
      <c r="K63" s="18"/>
      <c r="L63" s="18"/>
      <c r="M63" s="18"/>
      <c r="N63" s="18"/>
      <c r="O63" s="18"/>
    </row>
    <row r="64" spans="2:15">
      <c r="B64" s="18"/>
      <c r="C64" s="18"/>
      <c r="D64" s="18"/>
      <c r="E64" s="18"/>
      <c r="F64" s="18"/>
      <c r="G64" s="18"/>
      <c r="H64" s="18"/>
      <c r="I64" s="18"/>
      <c r="J64" s="18"/>
      <c r="K64" s="18"/>
      <c r="L64" s="18"/>
      <c r="M64" s="18"/>
      <c r="N64" s="18"/>
      <c r="O64" s="18"/>
    </row>
    <row r="65" spans="2:15">
      <c r="B65" s="18"/>
      <c r="C65" s="18"/>
      <c r="D65" s="18"/>
      <c r="E65" s="18"/>
      <c r="F65" s="18"/>
      <c r="G65" s="18"/>
      <c r="H65" s="18"/>
      <c r="I65" s="18"/>
      <c r="J65" s="18"/>
      <c r="K65" s="18"/>
      <c r="L65" s="18"/>
      <c r="M65" s="18"/>
      <c r="N65" s="18"/>
      <c r="O65" s="18"/>
    </row>
    <row r="66" spans="2:15">
      <c r="B66" s="18"/>
      <c r="C66" s="18"/>
      <c r="D66" s="18"/>
      <c r="E66" s="18"/>
      <c r="F66" s="18"/>
      <c r="G66" s="18"/>
      <c r="H66" s="18"/>
      <c r="I66" s="18"/>
      <c r="J66" s="18"/>
      <c r="K66" s="18"/>
      <c r="L66" s="18"/>
      <c r="M66" s="18"/>
      <c r="N66" s="18"/>
      <c r="O66" s="18"/>
    </row>
    <row r="67" spans="2:15">
      <c r="B67" s="18"/>
      <c r="C67" s="18"/>
      <c r="D67" s="18"/>
      <c r="E67" s="18"/>
      <c r="F67" s="18"/>
      <c r="G67" s="18"/>
      <c r="H67" s="18"/>
      <c r="I67" s="18"/>
      <c r="J67" s="18"/>
      <c r="K67" s="18"/>
      <c r="L67" s="18"/>
      <c r="M67" s="18"/>
      <c r="N67" s="18"/>
      <c r="O67" s="18"/>
    </row>
    <row r="68" spans="2:15">
      <c r="B68" s="18"/>
      <c r="C68" s="18"/>
      <c r="D68" s="18"/>
      <c r="E68" s="18"/>
      <c r="F68" s="18"/>
      <c r="G68" s="18"/>
      <c r="H68" s="18"/>
      <c r="I68" s="18"/>
      <c r="J68" s="18"/>
      <c r="K68" s="18"/>
      <c r="L68" s="18"/>
      <c r="M68" s="18"/>
      <c r="N68" s="18"/>
      <c r="O68" s="18"/>
    </row>
    <row r="69" spans="2:15">
      <c r="B69" s="18"/>
      <c r="C69" s="18"/>
      <c r="D69" s="18"/>
      <c r="E69" s="18"/>
      <c r="F69" s="18"/>
      <c r="G69" s="18"/>
      <c r="H69" s="18"/>
      <c r="I69" s="18"/>
      <c r="J69" s="18"/>
      <c r="K69" s="18"/>
      <c r="L69" s="18"/>
      <c r="M69" s="18"/>
      <c r="N69" s="18"/>
      <c r="O69" s="18"/>
    </row>
    <row r="70" spans="2:15">
      <c r="B70" s="18"/>
      <c r="C70" s="18"/>
      <c r="D70" s="18"/>
      <c r="E70" s="18"/>
      <c r="F70" s="18"/>
      <c r="G70" s="18"/>
      <c r="H70" s="18"/>
      <c r="I70" s="18"/>
      <c r="J70" s="18"/>
      <c r="K70" s="18"/>
      <c r="L70" s="18"/>
      <c r="M70" s="18"/>
      <c r="N70" s="18"/>
      <c r="O70" s="18"/>
    </row>
    <row r="71" spans="2:15">
      <c r="B71" s="18"/>
      <c r="C71" s="18"/>
      <c r="D71" s="18"/>
      <c r="E71" s="18"/>
      <c r="F71" s="18"/>
      <c r="G71" s="18"/>
      <c r="H71" s="18"/>
      <c r="I71" s="18"/>
      <c r="J71" s="18"/>
      <c r="K71" s="18"/>
      <c r="L71" s="18"/>
      <c r="M71" s="18"/>
      <c r="N71" s="18"/>
      <c r="O71" s="18"/>
    </row>
    <row r="72" spans="2:15">
      <c r="B72" s="18"/>
      <c r="C72" s="18"/>
      <c r="D72" s="18"/>
      <c r="E72" s="18"/>
      <c r="F72" s="18"/>
      <c r="G72" s="18"/>
      <c r="H72" s="18"/>
      <c r="I72" s="18"/>
      <c r="J72" s="18"/>
      <c r="K72" s="18"/>
      <c r="L72" s="18"/>
      <c r="M72" s="18"/>
      <c r="N72" s="18"/>
      <c r="O72" s="18"/>
    </row>
    <row r="73" spans="2:15">
      <c r="B73" s="18"/>
      <c r="C73" s="18"/>
      <c r="D73" s="18"/>
      <c r="E73" s="18"/>
      <c r="F73" s="18"/>
      <c r="G73" s="18"/>
      <c r="H73" s="18"/>
      <c r="I73" s="18"/>
      <c r="J73" s="18"/>
      <c r="K73" s="18"/>
      <c r="L73" s="18"/>
      <c r="M73" s="18"/>
      <c r="N73" s="18"/>
      <c r="O73" s="18"/>
    </row>
    <row r="74" spans="2:15">
      <c r="B74" s="18"/>
      <c r="C74" s="18"/>
      <c r="D74" s="18"/>
      <c r="E74" s="18"/>
      <c r="F74" s="18"/>
      <c r="G74" s="18"/>
      <c r="H74" s="18"/>
      <c r="I74" s="18"/>
      <c r="J74" s="18"/>
      <c r="K74" s="18"/>
      <c r="L74" s="18"/>
      <c r="M74" s="18"/>
      <c r="N74" s="18"/>
      <c r="O74" s="18"/>
    </row>
    <row r="75" spans="2:15">
      <c r="B75" s="18"/>
      <c r="C75" s="18"/>
      <c r="D75" s="18"/>
      <c r="E75" s="18"/>
      <c r="F75" s="18"/>
      <c r="G75" s="18"/>
      <c r="H75" s="18"/>
      <c r="I75" s="18"/>
      <c r="J75" s="18"/>
      <c r="K75" s="18"/>
      <c r="L75" s="18"/>
      <c r="M75" s="18"/>
      <c r="N75" s="18"/>
      <c r="O75" s="18"/>
    </row>
    <row r="76" spans="2:15">
      <c r="B76" s="18"/>
      <c r="C76" s="18"/>
      <c r="D76" s="18"/>
      <c r="E76" s="18"/>
      <c r="F76" s="18"/>
      <c r="G76" s="18"/>
      <c r="H76" s="18"/>
      <c r="I76" s="18"/>
      <c r="J76" s="18"/>
      <c r="K76" s="18"/>
      <c r="L76" s="18"/>
      <c r="M76" s="18"/>
      <c r="N76" s="18"/>
      <c r="O76" s="18"/>
    </row>
    <row r="77" spans="2:15">
      <c r="B77" s="18"/>
      <c r="C77" s="18"/>
      <c r="D77" s="18"/>
      <c r="E77" s="18"/>
      <c r="F77" s="18"/>
      <c r="G77" s="18"/>
      <c r="H77" s="18"/>
      <c r="I77" s="18"/>
      <c r="J77" s="18"/>
      <c r="K77" s="18"/>
      <c r="L77" s="18"/>
      <c r="M77" s="18"/>
      <c r="N77" s="18"/>
      <c r="O77" s="18"/>
    </row>
    <row r="78" spans="2:15">
      <c r="B78" s="18"/>
      <c r="C78" s="18"/>
      <c r="D78" s="18"/>
      <c r="E78" s="18"/>
      <c r="F78" s="18"/>
      <c r="G78" s="18"/>
      <c r="H78" s="18"/>
      <c r="I78" s="18"/>
      <c r="J78" s="18"/>
      <c r="K78" s="18"/>
      <c r="L78" s="18"/>
      <c r="M78" s="18"/>
      <c r="N78" s="18"/>
      <c r="O78" s="18"/>
    </row>
    <row r="79" spans="2:15">
      <c r="B79" s="18"/>
      <c r="C79" s="18"/>
      <c r="D79" s="18"/>
      <c r="E79" s="18"/>
      <c r="F79" s="18"/>
      <c r="G79" s="18"/>
      <c r="H79" s="18"/>
      <c r="I79" s="18"/>
      <c r="J79" s="18"/>
      <c r="K79" s="18"/>
      <c r="L79" s="18"/>
      <c r="M79" s="18"/>
      <c r="N79" s="18"/>
      <c r="O79" s="18"/>
    </row>
    <row r="80" spans="2:15">
      <c r="B80" s="18"/>
      <c r="C80" s="18"/>
      <c r="D80" s="18"/>
      <c r="E80" s="18"/>
      <c r="F80" s="18"/>
      <c r="G80" s="18"/>
      <c r="H80" s="18"/>
      <c r="I80" s="18"/>
      <c r="J80" s="18"/>
      <c r="K80" s="18"/>
      <c r="L80" s="18"/>
      <c r="M80" s="18"/>
      <c r="N80" s="18"/>
      <c r="O80" s="18"/>
    </row>
    <row r="81" spans="2:15">
      <c r="B81" s="18"/>
      <c r="C81" s="18"/>
      <c r="D81" s="18"/>
      <c r="E81" s="18"/>
      <c r="F81" s="18"/>
      <c r="G81" s="18"/>
      <c r="H81" s="18"/>
      <c r="I81" s="18"/>
      <c r="J81" s="18"/>
      <c r="K81" s="18"/>
      <c r="L81" s="18"/>
      <c r="M81" s="18"/>
      <c r="N81" s="18"/>
      <c r="O81" s="18"/>
    </row>
    <row r="82" spans="2:15">
      <c r="B82" s="18"/>
      <c r="C82" s="18"/>
      <c r="D82" s="18"/>
      <c r="E82" s="18"/>
      <c r="F82" s="18"/>
      <c r="G82" s="18"/>
      <c r="H82" s="18"/>
      <c r="I82" s="18"/>
      <c r="J82" s="18"/>
      <c r="K82" s="18"/>
      <c r="L82" s="18"/>
      <c r="M82" s="18"/>
      <c r="N82" s="18"/>
      <c r="O82" s="18"/>
    </row>
    <row r="83" spans="2:15">
      <c r="B83" s="18"/>
      <c r="C83" s="18"/>
      <c r="D83" s="18"/>
      <c r="E83" s="18"/>
      <c r="F83" s="18"/>
      <c r="G83" s="18"/>
      <c r="H83" s="18"/>
      <c r="I83" s="18"/>
      <c r="J83" s="18"/>
      <c r="K83" s="18"/>
      <c r="L83" s="18"/>
      <c r="M83" s="18"/>
      <c r="N83" s="18"/>
      <c r="O83" s="18"/>
    </row>
    <row r="84" spans="2:15">
      <c r="B84" s="18"/>
      <c r="C84" s="18"/>
      <c r="D84" s="18"/>
      <c r="E84" s="18"/>
      <c r="F84" s="18"/>
      <c r="G84" s="18"/>
      <c r="H84" s="18"/>
      <c r="I84" s="18"/>
      <c r="J84" s="18"/>
      <c r="K84" s="18"/>
      <c r="L84" s="18"/>
      <c r="M84" s="18"/>
      <c r="N84" s="18"/>
      <c r="O84" s="18"/>
    </row>
    <row r="85" spans="2:15">
      <c r="B85" s="18"/>
      <c r="C85" s="18"/>
      <c r="D85" s="18"/>
      <c r="E85" s="18"/>
      <c r="F85" s="18"/>
      <c r="G85" s="18"/>
      <c r="H85" s="18"/>
      <c r="I85" s="18"/>
      <c r="J85" s="18"/>
      <c r="K85" s="18"/>
      <c r="L85" s="18"/>
      <c r="M85" s="18"/>
      <c r="N85" s="18"/>
      <c r="O85" s="18"/>
    </row>
    <row r="86" spans="2:15">
      <c r="B86" s="18"/>
      <c r="C86" s="18"/>
      <c r="D86" s="18"/>
      <c r="E86" s="18"/>
      <c r="F86" s="18"/>
      <c r="G86" s="18"/>
      <c r="H86" s="18"/>
      <c r="I86" s="18"/>
      <c r="J86" s="18"/>
      <c r="K86" s="18"/>
      <c r="L86" s="18"/>
      <c r="M86" s="18"/>
      <c r="N86" s="18"/>
      <c r="O86" s="18"/>
    </row>
    <row r="87" spans="2:15">
      <c r="B87" s="18"/>
      <c r="C87" s="18"/>
      <c r="D87" s="18"/>
      <c r="E87" s="18"/>
      <c r="F87" s="18"/>
      <c r="G87" s="18"/>
      <c r="H87" s="18"/>
      <c r="I87" s="18"/>
      <c r="J87" s="18"/>
      <c r="K87" s="18"/>
      <c r="L87" s="18"/>
      <c r="M87" s="18"/>
      <c r="N87" s="18"/>
      <c r="O87" s="18"/>
    </row>
    <row r="88" spans="2:15">
      <c r="B88" s="18"/>
      <c r="C88" s="18"/>
      <c r="D88" s="18"/>
      <c r="E88" s="18"/>
      <c r="F88" s="18"/>
      <c r="G88" s="18"/>
      <c r="H88" s="18"/>
      <c r="I88" s="18"/>
      <c r="J88" s="18"/>
      <c r="K88" s="18"/>
      <c r="L88" s="18"/>
      <c r="M88" s="18"/>
      <c r="N88" s="18"/>
      <c r="O88" s="18"/>
    </row>
    <row r="89" spans="2:15">
      <c r="B89" s="18"/>
      <c r="C89" s="18"/>
      <c r="D89" s="18"/>
      <c r="E89" s="18"/>
      <c r="F89" s="18"/>
      <c r="G89" s="18"/>
      <c r="H89" s="18"/>
      <c r="I89" s="18"/>
      <c r="J89" s="18"/>
      <c r="K89" s="18"/>
      <c r="L89" s="18"/>
      <c r="M89" s="18"/>
      <c r="N89" s="18"/>
      <c r="O89" s="18"/>
    </row>
    <row r="90" spans="2:15">
      <c r="B90" s="18"/>
      <c r="C90" s="18"/>
      <c r="D90" s="18"/>
      <c r="E90" s="18"/>
      <c r="F90" s="18"/>
      <c r="G90" s="18"/>
      <c r="H90" s="18"/>
      <c r="I90" s="18"/>
      <c r="J90" s="18"/>
      <c r="K90" s="18"/>
      <c r="L90" s="18"/>
      <c r="M90" s="18"/>
      <c r="N90" s="18"/>
      <c r="O90" s="18"/>
    </row>
    <row r="91" spans="2:15">
      <c r="B91" s="18"/>
      <c r="C91" s="18"/>
      <c r="D91" s="18"/>
      <c r="E91" s="18"/>
      <c r="F91" s="18"/>
      <c r="G91" s="18"/>
      <c r="H91" s="18"/>
      <c r="I91" s="18"/>
      <c r="J91" s="18"/>
      <c r="K91" s="18"/>
      <c r="L91" s="18"/>
      <c r="M91" s="18"/>
      <c r="N91" s="18"/>
      <c r="O91" s="18"/>
    </row>
    <row r="92" spans="2:15">
      <c r="B92" s="18"/>
      <c r="C92" s="18"/>
      <c r="D92" s="18"/>
      <c r="E92" s="18"/>
      <c r="F92" s="18"/>
      <c r="G92" s="18"/>
      <c r="H92" s="18"/>
      <c r="I92" s="18"/>
      <c r="J92" s="18"/>
      <c r="K92" s="18"/>
      <c r="L92" s="18"/>
      <c r="M92" s="18"/>
      <c r="N92" s="18"/>
      <c r="O92" s="18"/>
    </row>
    <row r="93" spans="2:15">
      <c r="B93" s="18"/>
      <c r="C93" s="18"/>
      <c r="D93" s="18"/>
      <c r="E93" s="18"/>
      <c r="F93" s="18"/>
      <c r="G93" s="18"/>
      <c r="H93" s="18"/>
      <c r="I93" s="18"/>
      <c r="J93" s="18"/>
      <c r="K93" s="18"/>
      <c r="L93" s="18"/>
      <c r="M93" s="18"/>
      <c r="N93" s="18"/>
      <c r="O93" s="18"/>
    </row>
    <row r="94" spans="2:15">
      <c r="B94" s="18"/>
      <c r="C94" s="18"/>
      <c r="D94" s="18"/>
      <c r="E94" s="18"/>
      <c r="F94" s="18"/>
      <c r="G94" s="18"/>
      <c r="H94" s="18"/>
      <c r="I94" s="18"/>
      <c r="J94" s="18"/>
      <c r="K94" s="18"/>
      <c r="L94" s="18"/>
      <c r="M94" s="18"/>
      <c r="N94" s="18"/>
      <c r="O94" s="18"/>
    </row>
    <row r="95" spans="2:15">
      <c r="B95" s="18"/>
      <c r="C95" s="18"/>
      <c r="D95" s="18"/>
      <c r="E95" s="18"/>
      <c r="F95" s="18"/>
      <c r="G95" s="18"/>
      <c r="H95" s="18"/>
      <c r="I95" s="18"/>
      <c r="J95" s="18"/>
      <c r="K95" s="18"/>
      <c r="L95" s="18"/>
      <c r="M95" s="18"/>
      <c r="N95" s="18"/>
      <c r="O95" s="18"/>
    </row>
    <row r="96" spans="2:15">
      <c r="B96" s="18"/>
      <c r="C96" s="18"/>
      <c r="D96" s="18"/>
      <c r="E96" s="18"/>
      <c r="F96" s="18"/>
      <c r="G96" s="18"/>
      <c r="H96" s="18"/>
      <c r="I96" s="18"/>
      <c r="J96" s="18"/>
      <c r="K96" s="18"/>
      <c r="L96" s="18"/>
      <c r="M96" s="18"/>
      <c r="N96" s="18"/>
      <c r="O96" s="18"/>
    </row>
    <row r="97" spans="2:15">
      <c r="B97" s="18"/>
      <c r="C97" s="18"/>
      <c r="D97" s="18"/>
      <c r="E97" s="18"/>
      <c r="F97" s="18"/>
      <c r="G97" s="18"/>
      <c r="H97" s="18"/>
      <c r="I97" s="18"/>
      <c r="J97" s="18"/>
      <c r="K97" s="18"/>
      <c r="L97" s="18"/>
      <c r="M97" s="18"/>
      <c r="N97" s="18"/>
      <c r="O97" s="18"/>
    </row>
    <row r="98" spans="2:15">
      <c r="B98" s="18"/>
      <c r="C98" s="18"/>
      <c r="D98" s="18"/>
      <c r="E98" s="18"/>
      <c r="F98" s="18"/>
      <c r="G98" s="18"/>
      <c r="H98" s="18"/>
      <c r="I98" s="18"/>
      <c r="J98" s="18"/>
      <c r="K98" s="18"/>
      <c r="L98" s="18"/>
      <c r="M98" s="18"/>
      <c r="N98" s="18"/>
      <c r="O98" s="18"/>
    </row>
    <row r="99" spans="2:15">
      <c r="B99" s="18"/>
      <c r="C99" s="18"/>
      <c r="D99" s="18"/>
      <c r="E99" s="18"/>
      <c r="F99" s="18"/>
      <c r="G99" s="18"/>
      <c r="H99" s="18"/>
      <c r="I99" s="18"/>
      <c r="J99" s="18"/>
      <c r="K99" s="18"/>
      <c r="L99" s="18"/>
      <c r="M99" s="18"/>
      <c r="N99" s="18"/>
      <c r="O99" s="18"/>
    </row>
    <row r="100" spans="2:15">
      <c r="B100" s="18"/>
      <c r="C100" s="18"/>
      <c r="D100" s="18"/>
      <c r="E100" s="18"/>
      <c r="F100" s="18"/>
      <c r="G100" s="18"/>
      <c r="H100" s="18"/>
      <c r="I100" s="18"/>
      <c r="J100" s="18"/>
      <c r="K100" s="18"/>
      <c r="L100" s="18"/>
      <c r="M100" s="18"/>
      <c r="N100" s="18"/>
      <c r="O100" s="18"/>
    </row>
    <row r="101" spans="2:15">
      <c r="B101" s="18"/>
      <c r="C101" s="18"/>
      <c r="D101" s="18"/>
      <c r="E101" s="18"/>
      <c r="F101" s="18"/>
      <c r="G101" s="18"/>
      <c r="H101" s="18"/>
      <c r="I101" s="18"/>
      <c r="J101" s="18"/>
      <c r="K101" s="18"/>
      <c r="L101" s="18"/>
      <c r="M101" s="18"/>
      <c r="N101" s="18"/>
      <c r="O101" s="18"/>
    </row>
    <row r="102" spans="2:15">
      <c r="B102" s="18"/>
      <c r="C102" s="18"/>
      <c r="D102" s="18"/>
      <c r="E102" s="18"/>
      <c r="F102" s="18"/>
      <c r="G102" s="18"/>
      <c r="H102" s="18"/>
      <c r="I102" s="18"/>
      <c r="J102" s="18"/>
      <c r="K102" s="18"/>
      <c r="L102" s="18"/>
      <c r="M102" s="18"/>
      <c r="N102" s="18"/>
      <c r="O102" s="18"/>
    </row>
    <row r="103" spans="2:15">
      <c r="B103" s="18"/>
      <c r="C103" s="18"/>
      <c r="D103" s="18"/>
      <c r="E103" s="18"/>
      <c r="F103" s="18"/>
      <c r="G103" s="18"/>
      <c r="H103" s="18"/>
      <c r="I103" s="18"/>
      <c r="J103" s="18"/>
      <c r="K103" s="18"/>
      <c r="L103" s="18"/>
      <c r="M103" s="18"/>
      <c r="N103" s="18"/>
      <c r="O103" s="18"/>
    </row>
    <row r="104" spans="2:15">
      <c r="B104" s="18"/>
      <c r="C104" s="18"/>
      <c r="D104" s="18"/>
      <c r="E104" s="18"/>
      <c r="F104" s="18"/>
      <c r="G104" s="18"/>
      <c r="H104" s="18"/>
      <c r="I104" s="18"/>
      <c r="J104" s="18"/>
      <c r="K104" s="18"/>
      <c r="L104" s="18"/>
      <c r="M104" s="18"/>
      <c r="N104" s="18"/>
      <c r="O104" s="18"/>
    </row>
    <row r="105" spans="2:15">
      <c r="B105" s="18"/>
      <c r="C105" s="18"/>
      <c r="D105" s="18"/>
      <c r="E105" s="18"/>
      <c r="F105" s="18"/>
      <c r="G105" s="18"/>
      <c r="H105" s="18"/>
      <c r="I105" s="18"/>
      <c r="J105" s="18"/>
      <c r="K105" s="18"/>
      <c r="L105" s="18"/>
      <c r="M105" s="18"/>
      <c r="N105" s="18"/>
      <c r="O105" s="18"/>
    </row>
    <row r="106" spans="2:15">
      <c r="B106" s="18"/>
      <c r="C106" s="18"/>
      <c r="D106" s="18"/>
      <c r="E106" s="18"/>
      <c r="F106" s="18"/>
      <c r="G106" s="18"/>
      <c r="H106" s="18"/>
      <c r="I106" s="18"/>
      <c r="J106" s="18"/>
      <c r="K106" s="18"/>
      <c r="L106" s="18"/>
      <c r="M106" s="18"/>
      <c r="N106" s="18"/>
      <c r="O106" s="18"/>
    </row>
    <row r="107" spans="2:15">
      <c r="B107" s="18"/>
      <c r="C107" s="18"/>
      <c r="D107" s="18"/>
      <c r="E107" s="18"/>
      <c r="F107" s="18"/>
      <c r="G107" s="18"/>
      <c r="H107" s="18"/>
      <c r="I107" s="18"/>
      <c r="J107" s="18"/>
      <c r="K107" s="18"/>
      <c r="L107" s="18"/>
      <c r="M107" s="18"/>
      <c r="N107" s="18"/>
      <c r="O107" s="18"/>
    </row>
    <row r="108" spans="2:15">
      <c r="B108" s="18"/>
      <c r="C108" s="18"/>
      <c r="D108" s="18"/>
      <c r="E108" s="18"/>
      <c r="F108" s="18"/>
      <c r="G108" s="18"/>
      <c r="H108" s="18"/>
      <c r="I108" s="18"/>
      <c r="J108" s="18"/>
      <c r="K108" s="18"/>
      <c r="L108" s="18"/>
      <c r="M108" s="18"/>
      <c r="N108" s="18"/>
      <c r="O108" s="18"/>
    </row>
    <row r="109" spans="2:15">
      <c r="B109" s="18"/>
      <c r="C109" s="18"/>
      <c r="D109" s="18"/>
      <c r="E109" s="18"/>
      <c r="F109" s="18"/>
      <c r="G109" s="18"/>
      <c r="H109" s="18"/>
      <c r="I109" s="18"/>
      <c r="J109" s="18"/>
      <c r="K109" s="18"/>
      <c r="L109" s="18"/>
      <c r="M109" s="18"/>
      <c r="N109" s="18"/>
      <c r="O109" s="18"/>
    </row>
    <row r="110" spans="2:15">
      <c r="B110" s="18"/>
      <c r="C110" s="18"/>
      <c r="D110" s="18"/>
      <c r="E110" s="18"/>
      <c r="F110" s="18"/>
      <c r="G110" s="18"/>
      <c r="H110" s="18"/>
      <c r="I110" s="18"/>
      <c r="J110" s="18"/>
      <c r="K110" s="18"/>
      <c r="L110" s="18"/>
      <c r="M110" s="18"/>
      <c r="N110" s="18"/>
      <c r="O110" s="18"/>
    </row>
    <row r="111" spans="2:15">
      <c r="B111" s="18"/>
      <c r="C111" s="18"/>
      <c r="D111" s="18"/>
      <c r="E111" s="18"/>
      <c r="F111" s="18"/>
      <c r="G111" s="18"/>
      <c r="H111" s="18"/>
      <c r="I111" s="18"/>
      <c r="J111" s="18"/>
      <c r="K111" s="18"/>
      <c r="L111" s="18"/>
      <c r="M111" s="18"/>
      <c r="N111" s="18"/>
      <c r="O111" s="18"/>
    </row>
    <row r="112" spans="2:15">
      <c r="B112" s="18"/>
      <c r="C112" s="18"/>
      <c r="D112" s="18"/>
      <c r="E112" s="18"/>
      <c r="F112" s="18"/>
      <c r="G112" s="18"/>
      <c r="H112" s="18"/>
      <c r="I112" s="18"/>
      <c r="J112" s="18"/>
      <c r="K112" s="18"/>
      <c r="L112" s="18"/>
      <c r="M112" s="18"/>
      <c r="N112" s="18"/>
      <c r="O112" s="18"/>
    </row>
    <row r="113" spans="2:15">
      <c r="B113" s="18"/>
      <c r="C113" s="18"/>
      <c r="D113" s="18"/>
      <c r="E113" s="18"/>
      <c r="F113" s="18"/>
      <c r="G113" s="18"/>
      <c r="H113" s="18"/>
      <c r="I113" s="18"/>
      <c r="J113" s="18"/>
      <c r="K113" s="18"/>
      <c r="L113" s="18"/>
      <c r="M113" s="18"/>
      <c r="N113" s="18"/>
      <c r="O113" s="18"/>
    </row>
    <row r="114" spans="2:15">
      <c r="B114" s="18"/>
      <c r="C114" s="18"/>
      <c r="D114" s="18"/>
      <c r="E114" s="18"/>
      <c r="F114" s="18"/>
      <c r="G114" s="18"/>
      <c r="H114" s="18"/>
      <c r="I114" s="18"/>
      <c r="J114" s="18"/>
      <c r="K114" s="18"/>
      <c r="L114" s="18"/>
      <c r="M114" s="18"/>
      <c r="N114" s="18"/>
      <c r="O114" s="18"/>
    </row>
    <row r="115" spans="2:15">
      <c r="B115" s="18"/>
      <c r="C115" s="18"/>
      <c r="D115" s="18"/>
      <c r="E115" s="18"/>
      <c r="F115" s="18"/>
      <c r="G115" s="18"/>
      <c r="H115" s="18"/>
      <c r="I115" s="18"/>
      <c r="J115" s="18"/>
      <c r="K115" s="18"/>
      <c r="L115" s="18"/>
      <c r="M115" s="18"/>
      <c r="N115" s="18"/>
      <c r="O115" s="18"/>
    </row>
    <row r="116" spans="2:15">
      <c r="B116" s="18"/>
      <c r="C116" s="18"/>
      <c r="D116" s="18"/>
      <c r="E116" s="18"/>
      <c r="F116" s="18"/>
      <c r="G116" s="18"/>
      <c r="H116" s="18"/>
      <c r="I116" s="18"/>
      <c r="J116" s="18"/>
      <c r="K116" s="18"/>
      <c r="L116" s="18"/>
      <c r="M116" s="18"/>
      <c r="N116" s="18"/>
      <c r="O116" s="18"/>
    </row>
    <row r="117" spans="2:15">
      <c r="B117" s="18"/>
      <c r="C117" s="18"/>
      <c r="D117" s="18"/>
      <c r="E117" s="18"/>
      <c r="F117" s="18"/>
      <c r="G117" s="18"/>
      <c r="H117" s="18"/>
      <c r="I117" s="18"/>
      <c r="J117" s="18"/>
      <c r="K117" s="18"/>
      <c r="L117" s="18"/>
      <c r="M117" s="18"/>
      <c r="N117" s="18"/>
      <c r="O117" s="18"/>
    </row>
    <row r="118" spans="2:15">
      <c r="B118" s="18"/>
      <c r="C118" s="18"/>
      <c r="D118" s="18"/>
      <c r="E118" s="18"/>
      <c r="F118" s="18"/>
      <c r="G118" s="18"/>
      <c r="H118" s="18"/>
      <c r="I118" s="18"/>
      <c r="J118" s="18"/>
      <c r="K118" s="18"/>
      <c r="L118" s="18"/>
      <c r="M118" s="18"/>
      <c r="N118" s="18"/>
      <c r="O118" s="18"/>
    </row>
    <row r="119" spans="2:15">
      <c r="B119" s="18"/>
      <c r="C119" s="18"/>
      <c r="D119" s="18"/>
      <c r="E119" s="18"/>
      <c r="F119" s="18"/>
      <c r="G119" s="18"/>
      <c r="H119" s="18"/>
      <c r="I119" s="18"/>
      <c r="J119" s="18"/>
      <c r="K119" s="18"/>
      <c r="L119" s="18"/>
      <c r="M119" s="18"/>
      <c r="N119" s="18"/>
      <c r="O119" s="18"/>
    </row>
    <row r="120" spans="2:15">
      <c r="B120" s="18"/>
      <c r="C120" s="18"/>
      <c r="D120" s="18"/>
      <c r="E120" s="18"/>
      <c r="F120" s="18"/>
      <c r="G120" s="18"/>
      <c r="H120" s="18"/>
      <c r="I120" s="18"/>
      <c r="J120" s="18"/>
      <c r="K120" s="18"/>
      <c r="L120" s="18"/>
      <c r="M120" s="18"/>
      <c r="N120" s="18"/>
      <c r="O120" s="18"/>
    </row>
    <row r="121" spans="2:15">
      <c r="B121" s="18"/>
      <c r="C121" s="18"/>
      <c r="D121" s="18"/>
      <c r="E121" s="18"/>
      <c r="F121" s="18"/>
      <c r="G121" s="18"/>
      <c r="H121" s="18"/>
      <c r="I121" s="18"/>
      <c r="J121" s="18"/>
      <c r="K121" s="18"/>
      <c r="L121" s="18"/>
      <c r="M121" s="18"/>
      <c r="N121" s="18"/>
      <c r="O121" s="18"/>
    </row>
    <row r="122" spans="2:15">
      <c r="B122" s="18"/>
      <c r="C122" s="18"/>
      <c r="D122" s="18"/>
      <c r="E122" s="18"/>
      <c r="F122" s="18"/>
      <c r="G122" s="18"/>
      <c r="H122" s="18"/>
      <c r="I122" s="18"/>
      <c r="J122" s="18"/>
      <c r="K122" s="18"/>
      <c r="L122" s="18"/>
      <c r="M122" s="18"/>
      <c r="N122" s="18"/>
      <c r="O122" s="18"/>
    </row>
    <row r="123" spans="2:15">
      <c r="B123" s="18"/>
      <c r="C123" s="18"/>
      <c r="D123" s="18"/>
      <c r="E123" s="18"/>
      <c r="F123" s="18"/>
      <c r="G123" s="18"/>
      <c r="H123" s="18"/>
      <c r="I123" s="18"/>
      <c r="J123" s="18"/>
      <c r="K123" s="18"/>
      <c r="L123" s="18"/>
      <c r="M123" s="18"/>
      <c r="N123" s="18"/>
      <c r="O123" s="18"/>
    </row>
    <row r="124" spans="2:15">
      <c r="B124" s="18"/>
      <c r="C124" s="18"/>
      <c r="D124" s="18"/>
      <c r="E124" s="18"/>
      <c r="F124" s="18"/>
      <c r="G124" s="18"/>
      <c r="H124" s="18"/>
      <c r="I124" s="18"/>
      <c r="J124" s="18"/>
      <c r="K124" s="18"/>
      <c r="L124" s="18"/>
      <c r="M124" s="18"/>
      <c r="N124" s="18"/>
      <c r="O124" s="18"/>
    </row>
    <row r="125" spans="2:15">
      <c r="B125" s="18"/>
      <c r="C125" s="18"/>
      <c r="D125" s="18"/>
      <c r="E125" s="18"/>
      <c r="F125" s="18"/>
      <c r="G125" s="18"/>
      <c r="H125" s="18"/>
      <c r="I125" s="18"/>
      <c r="J125" s="18"/>
      <c r="K125" s="18"/>
      <c r="L125" s="18"/>
      <c r="M125" s="18"/>
      <c r="N125" s="18"/>
      <c r="O125" s="18"/>
    </row>
    <row r="126" spans="2:15">
      <c r="B126" s="18"/>
      <c r="C126" s="18"/>
      <c r="D126" s="18"/>
      <c r="E126" s="18"/>
      <c r="F126" s="18"/>
      <c r="G126" s="18"/>
      <c r="H126" s="18"/>
      <c r="I126" s="18"/>
      <c r="J126" s="18"/>
      <c r="K126" s="18"/>
      <c r="L126" s="18"/>
      <c r="M126" s="18"/>
      <c r="N126" s="18"/>
      <c r="O126" s="18"/>
    </row>
    <row r="127" spans="2:15">
      <c r="B127" s="18"/>
      <c r="C127" s="18"/>
      <c r="D127" s="18"/>
      <c r="E127" s="18"/>
      <c r="F127" s="18"/>
      <c r="G127" s="18"/>
      <c r="H127" s="18"/>
      <c r="I127" s="18"/>
      <c r="J127" s="18"/>
      <c r="K127" s="18"/>
      <c r="L127" s="18"/>
      <c r="M127" s="18"/>
      <c r="N127" s="18"/>
      <c r="O127" s="18"/>
    </row>
    <row r="128" spans="2:15">
      <c r="B128" s="18"/>
      <c r="C128" s="18"/>
      <c r="D128" s="18"/>
      <c r="E128" s="18"/>
      <c r="F128" s="18"/>
      <c r="G128" s="18"/>
      <c r="H128" s="18"/>
      <c r="I128" s="18"/>
      <c r="J128" s="18"/>
      <c r="K128" s="18"/>
      <c r="L128" s="18"/>
      <c r="M128" s="18"/>
      <c r="N128" s="18"/>
      <c r="O128" s="18"/>
    </row>
    <row r="129" spans="2:15">
      <c r="B129" s="18"/>
      <c r="C129" s="18"/>
      <c r="D129" s="18"/>
      <c r="E129" s="18"/>
      <c r="F129" s="18"/>
      <c r="G129" s="18"/>
      <c r="H129" s="18"/>
      <c r="I129" s="18"/>
      <c r="J129" s="18"/>
      <c r="K129" s="18"/>
      <c r="L129" s="18"/>
      <c r="M129" s="18"/>
      <c r="N129" s="18"/>
      <c r="O129" s="18"/>
    </row>
    <row r="130" spans="2:15">
      <c r="B130" s="18"/>
      <c r="C130" s="18"/>
      <c r="D130" s="18"/>
      <c r="E130" s="18"/>
      <c r="F130" s="18"/>
      <c r="G130" s="18"/>
      <c r="H130" s="18"/>
      <c r="I130" s="18"/>
      <c r="J130" s="18"/>
      <c r="K130" s="18"/>
      <c r="L130" s="18"/>
      <c r="M130" s="18"/>
      <c r="N130" s="18"/>
      <c r="O130" s="18"/>
    </row>
    <row r="131" spans="2:15">
      <c r="B131" s="18"/>
      <c r="C131" s="18"/>
      <c r="D131" s="18"/>
      <c r="E131" s="18"/>
      <c r="F131" s="18"/>
      <c r="G131" s="18"/>
      <c r="H131" s="18"/>
      <c r="I131" s="18"/>
      <c r="J131" s="18"/>
      <c r="K131" s="18"/>
      <c r="L131" s="18"/>
      <c r="M131" s="18"/>
      <c r="N131" s="18"/>
      <c r="O131" s="18"/>
    </row>
    <row r="132" spans="2:15">
      <c r="B132" s="18"/>
      <c r="C132" s="18"/>
      <c r="D132" s="18"/>
      <c r="E132" s="18"/>
      <c r="F132" s="18"/>
      <c r="G132" s="18"/>
      <c r="H132" s="18"/>
      <c r="I132" s="18"/>
      <c r="J132" s="18"/>
      <c r="K132" s="18"/>
      <c r="L132" s="18"/>
      <c r="M132" s="18"/>
      <c r="N132" s="18"/>
      <c r="O132" s="18"/>
    </row>
    <row r="133" spans="2:15">
      <c r="B133" s="18"/>
      <c r="C133" s="18"/>
      <c r="D133" s="18"/>
      <c r="E133" s="18"/>
      <c r="F133" s="18"/>
      <c r="G133" s="18"/>
      <c r="H133" s="18"/>
      <c r="I133" s="18"/>
      <c r="J133" s="18"/>
      <c r="K133" s="18"/>
      <c r="L133" s="18"/>
      <c r="M133" s="18"/>
      <c r="N133" s="18"/>
      <c r="O133" s="18"/>
    </row>
    <row r="134" spans="2:15">
      <c r="B134" s="18"/>
      <c r="C134" s="18"/>
      <c r="D134" s="18"/>
      <c r="E134" s="18"/>
      <c r="F134" s="18"/>
      <c r="G134" s="18"/>
      <c r="H134" s="18"/>
      <c r="I134" s="18"/>
      <c r="J134" s="18"/>
      <c r="K134" s="18"/>
      <c r="L134" s="18"/>
      <c r="M134" s="18"/>
      <c r="N134" s="18"/>
      <c r="O134" s="18"/>
    </row>
    <row r="135" spans="2:15">
      <c r="B135" s="18"/>
      <c r="C135" s="18"/>
      <c r="D135" s="18"/>
      <c r="E135" s="18"/>
      <c r="F135" s="18"/>
      <c r="G135" s="18"/>
      <c r="H135" s="18"/>
      <c r="I135" s="18"/>
      <c r="J135" s="18"/>
      <c r="K135" s="18"/>
      <c r="L135" s="18"/>
      <c r="M135" s="18"/>
      <c r="N135" s="18"/>
      <c r="O135" s="18"/>
    </row>
    <row r="136" spans="2:15">
      <c r="B136" s="18"/>
      <c r="C136" s="18"/>
      <c r="D136" s="18"/>
      <c r="E136" s="18"/>
      <c r="F136" s="18"/>
      <c r="G136" s="18"/>
      <c r="H136" s="18"/>
      <c r="I136" s="18"/>
      <c r="J136" s="18"/>
      <c r="K136" s="18"/>
      <c r="L136" s="18"/>
      <c r="M136" s="18"/>
      <c r="N136" s="18"/>
      <c r="O136" s="18"/>
    </row>
    <row r="137" spans="2:15">
      <c r="B137" s="18"/>
      <c r="C137" s="18"/>
      <c r="D137" s="18"/>
      <c r="E137" s="18"/>
      <c r="F137" s="18"/>
      <c r="G137" s="18"/>
      <c r="H137" s="18"/>
      <c r="I137" s="18"/>
      <c r="J137" s="18"/>
      <c r="K137" s="18"/>
      <c r="L137" s="18"/>
      <c r="M137" s="18"/>
      <c r="N137" s="18"/>
      <c r="O137" s="18"/>
    </row>
    <row r="138" spans="2:15">
      <c r="B138" s="18"/>
      <c r="C138" s="18"/>
      <c r="D138" s="18"/>
      <c r="E138" s="18"/>
      <c r="F138" s="18"/>
      <c r="G138" s="18"/>
      <c r="H138" s="18"/>
      <c r="I138" s="18"/>
      <c r="J138" s="18"/>
      <c r="K138" s="18"/>
      <c r="L138" s="18"/>
      <c r="M138" s="18"/>
      <c r="N138" s="18"/>
      <c r="O138" s="18"/>
    </row>
    <row r="139" spans="2:15">
      <c r="B139" s="18"/>
      <c r="C139" s="18"/>
      <c r="D139" s="18"/>
      <c r="E139" s="18"/>
      <c r="F139" s="18"/>
      <c r="G139" s="18"/>
      <c r="H139" s="18"/>
      <c r="I139" s="18"/>
      <c r="J139" s="18"/>
      <c r="K139" s="18"/>
      <c r="L139" s="18"/>
      <c r="M139" s="18"/>
      <c r="N139" s="18"/>
      <c r="O139" s="18"/>
    </row>
    <row r="140" spans="2:15">
      <c r="B140" s="18"/>
      <c r="C140" s="18"/>
      <c r="D140" s="18"/>
      <c r="E140" s="18"/>
      <c r="F140" s="18"/>
      <c r="G140" s="18"/>
      <c r="H140" s="18"/>
      <c r="I140" s="18"/>
      <c r="J140" s="18"/>
      <c r="K140" s="18"/>
      <c r="L140" s="18"/>
      <c r="M140" s="18"/>
      <c r="N140" s="18"/>
      <c r="O140" s="18"/>
    </row>
    <row r="141" spans="2:15">
      <c r="B141" s="18"/>
      <c r="C141" s="18"/>
      <c r="D141" s="18"/>
      <c r="E141" s="18"/>
      <c r="F141" s="18"/>
      <c r="G141" s="18"/>
      <c r="H141" s="18"/>
      <c r="I141" s="18"/>
      <c r="J141" s="18"/>
      <c r="K141" s="18"/>
      <c r="L141" s="18"/>
      <c r="M141" s="18"/>
      <c r="N141" s="18"/>
      <c r="O141" s="18"/>
    </row>
    <row r="142" spans="2:15">
      <c r="B142" s="18"/>
      <c r="C142" s="18"/>
      <c r="D142" s="18"/>
      <c r="E142" s="18"/>
      <c r="F142" s="18"/>
      <c r="G142" s="18"/>
      <c r="H142" s="18"/>
      <c r="I142" s="18"/>
      <c r="J142" s="18"/>
      <c r="K142" s="18"/>
      <c r="L142" s="18"/>
      <c r="M142" s="18"/>
      <c r="N142" s="18"/>
      <c r="O142" s="18"/>
    </row>
    <row r="143" spans="2:15">
      <c r="B143" s="18"/>
      <c r="C143" s="18"/>
      <c r="D143" s="18"/>
      <c r="E143" s="18"/>
      <c r="F143" s="18"/>
      <c r="G143" s="18"/>
      <c r="H143" s="18"/>
      <c r="I143" s="18"/>
      <c r="J143" s="18"/>
      <c r="K143" s="18"/>
      <c r="L143" s="18"/>
      <c r="M143" s="18"/>
      <c r="N143" s="18"/>
      <c r="O143" s="18"/>
    </row>
    <row r="144" spans="2:15">
      <c r="B144" s="18"/>
      <c r="C144" s="18"/>
      <c r="D144" s="18"/>
      <c r="E144" s="18"/>
      <c r="F144" s="18"/>
      <c r="G144" s="18"/>
      <c r="H144" s="18"/>
      <c r="I144" s="18"/>
      <c r="J144" s="18"/>
      <c r="K144" s="18"/>
      <c r="L144" s="18"/>
      <c r="M144" s="18"/>
      <c r="N144" s="18"/>
      <c r="O144" s="18"/>
    </row>
    <row r="145" spans="2:15">
      <c r="B145" s="18"/>
      <c r="C145" s="18"/>
      <c r="D145" s="18"/>
      <c r="E145" s="18"/>
      <c r="F145" s="18"/>
      <c r="G145" s="18"/>
      <c r="H145" s="18"/>
      <c r="I145" s="18"/>
      <c r="J145" s="18"/>
      <c r="K145" s="18"/>
      <c r="L145" s="18"/>
      <c r="M145" s="18"/>
      <c r="N145" s="18"/>
      <c r="O145" s="18"/>
    </row>
    <row r="146" spans="2:15">
      <c r="B146" s="18"/>
      <c r="C146" s="18"/>
      <c r="D146" s="18"/>
      <c r="E146" s="18"/>
      <c r="F146" s="18"/>
      <c r="G146" s="18"/>
      <c r="H146" s="18"/>
      <c r="I146" s="18"/>
      <c r="J146" s="18"/>
      <c r="K146" s="18"/>
      <c r="L146" s="18"/>
      <c r="M146" s="18"/>
      <c r="N146" s="18"/>
      <c r="O146" s="18"/>
    </row>
    <row r="147" spans="2:15">
      <c r="B147" s="18"/>
      <c r="C147" s="18"/>
      <c r="D147" s="18"/>
      <c r="E147" s="18"/>
      <c r="F147" s="18"/>
      <c r="G147" s="18"/>
      <c r="H147" s="18"/>
      <c r="I147" s="18"/>
      <c r="J147" s="18"/>
      <c r="K147" s="18"/>
      <c r="L147" s="18"/>
      <c r="M147" s="18"/>
      <c r="N147" s="18"/>
      <c r="O147" s="18"/>
    </row>
    <row r="148" spans="2:15">
      <c r="B148" s="18"/>
      <c r="C148" s="18"/>
      <c r="D148" s="18"/>
      <c r="E148" s="18"/>
      <c r="F148" s="18"/>
      <c r="G148" s="18"/>
      <c r="H148" s="18"/>
      <c r="I148" s="18"/>
      <c r="J148" s="18"/>
      <c r="K148" s="18"/>
      <c r="L148" s="18"/>
      <c r="M148" s="18"/>
      <c r="N148" s="18"/>
      <c r="O148" s="18"/>
    </row>
    <row r="149" spans="2:15">
      <c r="B149" s="18"/>
      <c r="C149" s="18"/>
      <c r="D149" s="18"/>
      <c r="E149" s="18"/>
      <c r="F149" s="18"/>
      <c r="G149" s="18"/>
      <c r="H149" s="18"/>
      <c r="I149" s="18"/>
      <c r="J149" s="18"/>
      <c r="K149" s="18"/>
      <c r="L149" s="18"/>
      <c r="M149" s="18"/>
      <c r="N149" s="18"/>
      <c r="O149" s="18"/>
    </row>
    <row r="150" spans="2:15">
      <c r="B150" s="18"/>
      <c r="C150" s="18"/>
      <c r="D150" s="18"/>
      <c r="E150" s="18"/>
      <c r="F150" s="18"/>
      <c r="G150" s="18"/>
      <c r="H150" s="18"/>
      <c r="I150" s="18"/>
      <c r="J150" s="18"/>
      <c r="K150" s="18"/>
      <c r="L150" s="18"/>
      <c r="M150" s="18"/>
      <c r="N150" s="18"/>
      <c r="O150" s="18"/>
    </row>
    <row r="151" spans="2:15">
      <c r="B151" s="18"/>
      <c r="C151" s="18"/>
      <c r="D151" s="18"/>
      <c r="E151" s="18"/>
      <c r="F151" s="18"/>
      <c r="G151" s="18"/>
      <c r="H151" s="18"/>
      <c r="I151" s="18"/>
      <c r="J151" s="18"/>
      <c r="K151" s="18"/>
      <c r="L151" s="18"/>
      <c r="M151" s="18"/>
      <c r="N151" s="18"/>
      <c r="O151" s="18"/>
    </row>
    <row r="152" spans="2:15">
      <c r="B152" s="18"/>
      <c r="C152" s="18"/>
      <c r="D152" s="18"/>
      <c r="E152" s="18"/>
      <c r="F152" s="18"/>
      <c r="G152" s="18"/>
      <c r="H152" s="18"/>
      <c r="I152" s="18"/>
      <c r="J152" s="18"/>
      <c r="K152" s="18"/>
      <c r="L152" s="18"/>
      <c r="M152" s="18"/>
      <c r="N152" s="18"/>
      <c r="O152" s="18"/>
    </row>
    <row r="153" spans="2:15">
      <c r="B153" s="18"/>
      <c r="C153" s="18"/>
      <c r="D153" s="18"/>
      <c r="E153" s="18"/>
      <c r="F153" s="18"/>
      <c r="G153" s="18"/>
      <c r="H153" s="18"/>
      <c r="I153" s="18"/>
      <c r="J153" s="18"/>
      <c r="K153" s="18"/>
      <c r="L153" s="18"/>
      <c r="M153" s="18"/>
      <c r="N153" s="18"/>
      <c r="O153" s="18"/>
    </row>
    <row r="154" spans="2:15">
      <c r="B154" s="18"/>
      <c r="C154" s="18"/>
      <c r="D154" s="18"/>
      <c r="E154" s="18"/>
      <c r="F154" s="18"/>
      <c r="G154" s="18"/>
      <c r="H154" s="18"/>
      <c r="I154" s="18"/>
      <c r="J154" s="18"/>
      <c r="K154" s="18"/>
      <c r="L154" s="18"/>
      <c r="M154" s="18"/>
      <c r="N154" s="18"/>
      <c r="O154" s="18"/>
    </row>
    <row r="155" spans="2:15">
      <c r="B155" s="18"/>
      <c r="C155" s="18"/>
      <c r="D155" s="18"/>
      <c r="E155" s="18"/>
      <c r="F155" s="18"/>
      <c r="G155" s="18"/>
      <c r="H155" s="18"/>
      <c r="I155" s="18"/>
      <c r="J155" s="18"/>
      <c r="K155" s="18"/>
      <c r="L155" s="18"/>
      <c r="M155" s="18"/>
      <c r="N155" s="18"/>
      <c r="O155" s="18"/>
    </row>
    <row r="156" spans="2:15">
      <c r="B156" s="18"/>
      <c r="C156" s="18"/>
      <c r="D156" s="18"/>
      <c r="E156" s="18"/>
      <c r="F156" s="18"/>
      <c r="G156" s="18"/>
      <c r="H156" s="18"/>
      <c r="I156" s="18"/>
      <c r="J156" s="18"/>
      <c r="K156" s="18"/>
      <c r="L156" s="18"/>
      <c r="M156" s="18"/>
      <c r="N156" s="18"/>
      <c r="O156" s="18"/>
    </row>
    <row r="157" spans="2:15">
      <c r="B157" s="18"/>
      <c r="C157" s="18"/>
      <c r="D157" s="18"/>
      <c r="E157" s="18"/>
      <c r="F157" s="18"/>
      <c r="G157" s="18"/>
      <c r="H157" s="18"/>
      <c r="I157" s="18"/>
      <c r="J157" s="18"/>
      <c r="K157" s="18"/>
      <c r="L157" s="18"/>
      <c r="M157" s="18"/>
      <c r="N157" s="18"/>
      <c r="O157" s="18"/>
    </row>
    <row r="158" spans="2:15">
      <c r="B158" s="18"/>
      <c r="C158" s="18"/>
      <c r="D158" s="18"/>
      <c r="E158" s="18"/>
      <c r="F158" s="18"/>
      <c r="G158" s="18"/>
      <c r="H158" s="18"/>
      <c r="I158" s="18"/>
      <c r="J158" s="18"/>
      <c r="K158" s="18"/>
      <c r="L158" s="18"/>
      <c r="M158" s="18"/>
      <c r="N158" s="18"/>
      <c r="O158" s="18"/>
    </row>
    <row r="159" spans="2:15">
      <c r="B159" s="18"/>
      <c r="C159" s="18"/>
      <c r="D159" s="18"/>
      <c r="E159" s="18"/>
      <c r="F159" s="18"/>
      <c r="G159" s="18"/>
      <c r="H159" s="18"/>
      <c r="I159" s="18"/>
      <c r="J159" s="18"/>
      <c r="K159" s="18"/>
      <c r="L159" s="18"/>
      <c r="M159" s="18"/>
      <c r="N159" s="18"/>
      <c r="O159" s="18"/>
    </row>
    <row r="160" spans="2:15">
      <c r="B160" s="18"/>
      <c r="C160" s="18"/>
      <c r="D160" s="18"/>
      <c r="E160" s="18"/>
      <c r="F160" s="18"/>
      <c r="G160" s="18"/>
      <c r="H160" s="18"/>
      <c r="I160" s="18"/>
      <c r="J160" s="18"/>
      <c r="K160" s="18"/>
      <c r="L160" s="18"/>
      <c r="M160" s="18"/>
      <c r="N160" s="18"/>
      <c r="O160" s="18"/>
    </row>
    <row r="161" spans="2:15">
      <c r="B161" s="18"/>
      <c r="C161" s="18"/>
      <c r="D161" s="18"/>
      <c r="E161" s="18"/>
      <c r="F161" s="18"/>
      <c r="G161" s="18"/>
      <c r="H161" s="18"/>
      <c r="I161" s="18"/>
      <c r="J161" s="18"/>
      <c r="K161" s="18"/>
      <c r="L161" s="18"/>
      <c r="M161" s="18"/>
      <c r="N161" s="18"/>
      <c r="O161" s="18"/>
    </row>
    <row r="162" spans="2:15">
      <c r="B162" s="18"/>
      <c r="C162" s="18"/>
      <c r="D162" s="18"/>
      <c r="E162" s="18"/>
      <c r="F162" s="18"/>
      <c r="G162" s="18"/>
      <c r="H162" s="18"/>
      <c r="I162" s="18"/>
      <c r="J162" s="18"/>
      <c r="K162" s="18"/>
      <c r="L162" s="18"/>
      <c r="M162" s="18"/>
      <c r="N162" s="18"/>
      <c r="O162" s="18"/>
    </row>
    <row r="163" spans="2:15">
      <c r="B163" s="18"/>
      <c r="C163" s="18"/>
      <c r="D163" s="18"/>
      <c r="E163" s="18"/>
      <c r="F163" s="18"/>
      <c r="G163" s="18"/>
      <c r="H163" s="18"/>
      <c r="I163" s="18"/>
      <c r="J163" s="18"/>
      <c r="K163" s="18"/>
      <c r="L163" s="18"/>
      <c r="M163" s="18"/>
      <c r="N163" s="18"/>
      <c r="O163" s="18"/>
    </row>
    <row r="164" spans="2:15">
      <c r="B164" s="18"/>
      <c r="C164" s="18"/>
      <c r="D164" s="18"/>
      <c r="E164" s="18"/>
      <c r="F164" s="18"/>
      <c r="G164" s="18"/>
      <c r="H164" s="18"/>
      <c r="I164" s="18"/>
      <c r="J164" s="18"/>
      <c r="K164" s="18"/>
      <c r="L164" s="18"/>
      <c r="M164" s="18"/>
      <c r="N164" s="18"/>
      <c r="O164" s="18"/>
    </row>
    <row r="165" spans="2:15">
      <c r="B165" s="18"/>
      <c r="C165" s="18"/>
      <c r="D165" s="18"/>
      <c r="E165" s="18"/>
      <c r="F165" s="18"/>
      <c r="G165" s="18"/>
      <c r="H165" s="18"/>
      <c r="I165" s="18"/>
      <c r="J165" s="18"/>
      <c r="K165" s="18"/>
      <c r="L165" s="18"/>
      <c r="M165" s="18"/>
      <c r="N165" s="18"/>
      <c r="O165" s="18"/>
    </row>
    <row r="166" spans="2:15">
      <c r="B166" s="18"/>
      <c r="C166" s="18"/>
      <c r="D166" s="18"/>
      <c r="E166" s="18"/>
      <c r="F166" s="18"/>
      <c r="G166" s="18"/>
      <c r="H166" s="18"/>
      <c r="I166" s="18"/>
      <c r="J166" s="18"/>
      <c r="K166" s="18"/>
      <c r="L166" s="18"/>
      <c r="M166" s="18"/>
      <c r="N166" s="18"/>
      <c r="O166" s="18"/>
    </row>
    <row r="167" spans="2:15">
      <c r="B167" s="18"/>
      <c r="C167" s="18"/>
      <c r="D167" s="18"/>
      <c r="E167" s="18"/>
      <c r="F167" s="18"/>
      <c r="G167" s="18"/>
      <c r="H167" s="18"/>
      <c r="I167" s="18"/>
      <c r="J167" s="18"/>
      <c r="K167" s="18"/>
      <c r="L167" s="18"/>
      <c r="M167" s="18"/>
      <c r="N167" s="18"/>
      <c r="O167" s="18"/>
    </row>
    <row r="168" spans="2:15">
      <c r="B168" s="18"/>
      <c r="C168" s="18"/>
      <c r="D168" s="18"/>
      <c r="E168" s="18"/>
      <c r="F168" s="18"/>
      <c r="G168" s="18"/>
      <c r="H168" s="18"/>
      <c r="I168" s="18"/>
      <c r="J168" s="18"/>
      <c r="K168" s="18"/>
      <c r="L168" s="18"/>
      <c r="M168" s="18"/>
      <c r="N168" s="18"/>
      <c r="O168" s="18"/>
    </row>
    <row r="169" spans="2:15">
      <c r="B169" s="18"/>
      <c r="C169" s="18"/>
      <c r="D169" s="18"/>
      <c r="E169" s="18"/>
      <c r="F169" s="18"/>
      <c r="G169" s="18"/>
      <c r="H169" s="18"/>
      <c r="I169" s="18"/>
      <c r="J169" s="18"/>
      <c r="K169" s="18"/>
      <c r="L169" s="18"/>
      <c r="M169" s="18"/>
      <c r="N169" s="18"/>
      <c r="O169" s="18"/>
    </row>
    <row r="170" spans="2:15">
      <c r="B170" s="18"/>
      <c r="C170" s="18"/>
      <c r="D170" s="18"/>
      <c r="E170" s="18"/>
      <c r="F170" s="18"/>
      <c r="G170" s="18"/>
      <c r="H170" s="18"/>
      <c r="I170" s="18"/>
      <c r="J170" s="18"/>
      <c r="K170" s="18"/>
      <c r="L170" s="18"/>
      <c r="M170" s="18"/>
      <c r="N170" s="18"/>
      <c r="O170" s="18"/>
    </row>
    <row r="171" spans="2:15">
      <c r="B171" s="18"/>
      <c r="C171" s="18"/>
      <c r="D171" s="18"/>
      <c r="E171" s="18"/>
      <c r="F171" s="18"/>
      <c r="G171" s="18"/>
      <c r="H171" s="18"/>
      <c r="I171" s="18"/>
      <c r="J171" s="18"/>
      <c r="K171" s="18"/>
      <c r="L171" s="18"/>
      <c r="M171" s="18"/>
      <c r="N171" s="18"/>
      <c r="O171" s="18"/>
    </row>
    <row r="172" spans="2:15">
      <c r="B172" s="18"/>
      <c r="C172" s="18"/>
      <c r="D172" s="18"/>
      <c r="E172" s="18"/>
      <c r="F172" s="18"/>
      <c r="G172" s="18"/>
      <c r="H172" s="18"/>
      <c r="I172" s="18"/>
      <c r="J172" s="18"/>
      <c r="K172" s="18"/>
      <c r="L172" s="18"/>
      <c r="M172" s="18"/>
      <c r="N172" s="18"/>
      <c r="O172" s="18"/>
    </row>
    <row r="173" spans="2:15">
      <c r="B173" s="18"/>
      <c r="C173" s="18"/>
      <c r="D173" s="18"/>
      <c r="E173" s="18"/>
      <c r="F173" s="18"/>
      <c r="G173" s="18"/>
      <c r="H173" s="18"/>
      <c r="I173" s="18"/>
      <c r="J173" s="18"/>
      <c r="K173" s="18"/>
      <c r="L173" s="18"/>
      <c r="M173" s="18"/>
      <c r="N173" s="18"/>
      <c r="O173" s="18"/>
    </row>
    <row r="174" spans="2:15">
      <c r="B174" s="18"/>
      <c r="C174" s="18"/>
      <c r="D174" s="18"/>
      <c r="E174" s="18"/>
      <c r="F174" s="18"/>
      <c r="G174" s="18"/>
      <c r="H174" s="18"/>
      <c r="I174" s="18"/>
      <c r="J174" s="18"/>
      <c r="K174" s="18"/>
      <c r="L174" s="18"/>
      <c r="M174" s="18"/>
      <c r="N174" s="18"/>
      <c r="O174" s="18"/>
    </row>
    <row r="175" spans="2:15">
      <c r="B175" s="18"/>
      <c r="C175" s="18"/>
      <c r="D175" s="18"/>
      <c r="E175" s="18"/>
      <c r="F175" s="18"/>
      <c r="G175" s="18"/>
      <c r="H175" s="18"/>
      <c r="I175" s="18"/>
      <c r="J175" s="18"/>
      <c r="K175" s="18"/>
      <c r="L175" s="18"/>
      <c r="M175" s="18"/>
      <c r="N175" s="18"/>
      <c r="O175" s="18"/>
    </row>
    <row r="176" spans="2:15">
      <c r="B176" s="18"/>
      <c r="C176" s="18"/>
      <c r="D176" s="18"/>
      <c r="E176" s="18"/>
      <c r="F176" s="18"/>
      <c r="G176" s="18"/>
      <c r="H176" s="18"/>
      <c r="I176" s="18"/>
      <c r="J176" s="18"/>
      <c r="K176" s="18"/>
      <c r="L176" s="18"/>
      <c r="M176" s="18"/>
      <c r="N176" s="18"/>
      <c r="O176" s="18"/>
    </row>
    <row r="177" spans="2:15">
      <c r="B177" s="18"/>
      <c r="C177" s="18"/>
      <c r="D177" s="18"/>
      <c r="E177" s="18"/>
      <c r="F177" s="18"/>
      <c r="G177" s="18"/>
      <c r="H177" s="18"/>
      <c r="I177" s="18"/>
      <c r="J177" s="18"/>
      <c r="K177" s="18"/>
      <c r="L177" s="18"/>
      <c r="M177" s="18"/>
      <c r="N177" s="18"/>
      <c r="O177" s="18"/>
    </row>
    <row r="178" spans="2:15">
      <c r="B178" s="18"/>
      <c r="C178" s="18"/>
      <c r="D178" s="18"/>
      <c r="E178" s="18"/>
      <c r="F178" s="18"/>
      <c r="G178" s="18"/>
      <c r="H178" s="18"/>
      <c r="I178" s="18"/>
      <c r="J178" s="18"/>
      <c r="K178" s="18"/>
      <c r="L178" s="18"/>
      <c r="M178" s="18"/>
      <c r="N178" s="18"/>
      <c r="O178" s="18"/>
    </row>
    <row r="179" spans="2:15">
      <c r="B179" s="18"/>
      <c r="C179" s="18"/>
      <c r="D179" s="18"/>
      <c r="E179" s="18"/>
      <c r="F179" s="18"/>
      <c r="G179" s="18"/>
      <c r="H179" s="18"/>
      <c r="I179" s="18"/>
      <c r="J179" s="18"/>
      <c r="K179" s="18"/>
      <c r="L179" s="18"/>
      <c r="M179" s="18"/>
      <c r="N179" s="18"/>
      <c r="O179" s="18"/>
    </row>
    <row r="180" spans="2:15">
      <c r="B180" s="18"/>
      <c r="C180" s="18"/>
      <c r="D180" s="18"/>
      <c r="E180" s="18"/>
      <c r="F180" s="18"/>
      <c r="G180" s="18"/>
      <c r="H180" s="18"/>
      <c r="I180" s="18"/>
      <c r="J180" s="18"/>
      <c r="K180" s="18"/>
      <c r="L180" s="18"/>
      <c r="M180" s="18"/>
      <c r="N180" s="18"/>
      <c r="O180" s="18"/>
    </row>
    <row r="181" spans="2:15">
      <c r="B181" s="18"/>
      <c r="C181" s="18"/>
      <c r="D181" s="18"/>
      <c r="E181" s="18"/>
      <c r="F181" s="18"/>
      <c r="G181" s="18"/>
      <c r="H181" s="18"/>
      <c r="I181" s="18"/>
      <c r="J181" s="18"/>
      <c r="K181" s="18"/>
      <c r="L181" s="18"/>
      <c r="M181" s="18"/>
      <c r="N181" s="18"/>
      <c r="O181" s="18"/>
    </row>
    <row r="182" spans="2:15">
      <c r="B182" s="18"/>
      <c r="C182" s="18"/>
      <c r="D182" s="18"/>
      <c r="E182" s="18"/>
      <c r="F182" s="18"/>
      <c r="G182" s="18"/>
      <c r="H182" s="18"/>
      <c r="I182" s="18"/>
      <c r="J182" s="18"/>
      <c r="K182" s="18"/>
      <c r="L182" s="18"/>
      <c r="M182" s="18"/>
      <c r="N182" s="18"/>
      <c r="O182" s="18"/>
    </row>
    <row r="183" spans="2:15">
      <c r="B183" s="18"/>
      <c r="C183" s="18"/>
      <c r="D183" s="18"/>
      <c r="E183" s="18"/>
      <c r="F183" s="18"/>
      <c r="G183" s="18"/>
      <c r="H183" s="18"/>
      <c r="I183" s="18"/>
      <c r="J183" s="18"/>
      <c r="K183" s="18"/>
      <c r="L183" s="18"/>
      <c r="M183" s="18"/>
      <c r="N183" s="18"/>
      <c r="O183" s="18"/>
    </row>
    <row r="184" spans="2:15">
      <c r="B184" s="18"/>
      <c r="C184" s="18"/>
      <c r="D184" s="18"/>
      <c r="E184" s="18"/>
      <c r="F184" s="18"/>
      <c r="G184" s="18"/>
      <c r="H184" s="18"/>
      <c r="I184" s="18"/>
      <c r="J184" s="18"/>
      <c r="K184" s="18"/>
      <c r="L184" s="18"/>
      <c r="M184" s="18"/>
      <c r="N184" s="18"/>
      <c r="O184" s="18"/>
    </row>
    <row r="185" spans="2:15">
      <c r="B185" s="18"/>
      <c r="C185" s="18"/>
      <c r="D185" s="18"/>
      <c r="E185" s="18"/>
      <c r="F185" s="18"/>
      <c r="G185" s="18"/>
      <c r="H185" s="18"/>
      <c r="I185" s="18"/>
      <c r="J185" s="18"/>
      <c r="K185" s="18"/>
      <c r="L185" s="18"/>
      <c r="M185" s="18"/>
      <c r="N185" s="18"/>
      <c r="O185" s="18"/>
    </row>
    <row r="186" spans="2:15">
      <c r="B186" s="18"/>
      <c r="C186" s="18"/>
      <c r="D186" s="18"/>
      <c r="E186" s="18"/>
      <c r="F186" s="18"/>
      <c r="G186" s="18"/>
      <c r="H186" s="18"/>
      <c r="I186" s="18"/>
      <c r="J186" s="18"/>
      <c r="K186" s="18"/>
      <c r="L186" s="18"/>
      <c r="M186" s="18"/>
      <c r="N186" s="18"/>
      <c r="O186" s="18"/>
    </row>
    <row r="187" spans="2:15">
      <c r="B187" s="18"/>
      <c r="C187" s="18"/>
      <c r="D187" s="18"/>
      <c r="E187" s="18"/>
      <c r="F187" s="18"/>
      <c r="G187" s="18"/>
      <c r="H187" s="18"/>
      <c r="I187" s="18"/>
      <c r="J187" s="18"/>
      <c r="K187" s="18"/>
      <c r="L187" s="18"/>
      <c r="M187" s="18"/>
      <c r="N187" s="18"/>
      <c r="O187" s="18"/>
    </row>
    <row r="188" spans="2:15">
      <c r="B188" s="18"/>
      <c r="C188" s="18"/>
      <c r="D188" s="18"/>
      <c r="E188" s="18"/>
      <c r="F188" s="18"/>
      <c r="G188" s="18"/>
      <c r="H188" s="18"/>
      <c r="I188" s="18"/>
      <c r="J188" s="18"/>
      <c r="K188" s="18"/>
      <c r="L188" s="18"/>
      <c r="M188" s="18"/>
      <c r="N188" s="18"/>
      <c r="O188" s="18"/>
    </row>
    <row r="189" spans="2:15">
      <c r="B189" s="18"/>
      <c r="C189" s="18"/>
      <c r="D189" s="18"/>
      <c r="E189" s="18"/>
      <c r="F189" s="18"/>
      <c r="G189" s="18"/>
      <c r="H189" s="18"/>
      <c r="I189" s="18"/>
      <c r="J189" s="18"/>
      <c r="K189" s="18"/>
      <c r="L189" s="18"/>
      <c r="M189" s="18"/>
      <c r="N189" s="18"/>
      <c r="O189" s="18"/>
    </row>
    <row r="190" spans="2:15">
      <c r="B190" s="18"/>
      <c r="C190" s="18"/>
      <c r="D190" s="18"/>
      <c r="E190" s="18"/>
      <c r="F190" s="18"/>
      <c r="G190" s="18"/>
      <c r="H190" s="18"/>
      <c r="I190" s="18"/>
      <c r="J190" s="18"/>
      <c r="K190" s="18"/>
      <c r="L190" s="18"/>
      <c r="M190" s="18"/>
      <c r="N190" s="18"/>
      <c r="O190" s="18"/>
    </row>
    <row r="191" spans="2:15">
      <c r="B191" s="18"/>
      <c r="C191" s="18"/>
      <c r="D191" s="18"/>
      <c r="E191" s="18"/>
      <c r="F191" s="18"/>
      <c r="G191" s="18"/>
      <c r="H191" s="18"/>
      <c r="I191" s="18"/>
      <c r="J191" s="18"/>
      <c r="K191" s="18"/>
      <c r="L191" s="18"/>
      <c r="M191" s="18"/>
      <c r="N191" s="18"/>
      <c r="O191" s="18"/>
    </row>
    <row r="192" spans="2:15">
      <c r="B192" s="18"/>
      <c r="C192" s="18"/>
      <c r="D192" s="18"/>
      <c r="E192" s="18"/>
      <c r="F192" s="18"/>
      <c r="G192" s="18"/>
      <c r="H192" s="18"/>
      <c r="I192" s="18"/>
      <c r="J192" s="18"/>
      <c r="K192" s="18"/>
      <c r="L192" s="18"/>
      <c r="M192" s="18"/>
      <c r="N192" s="18"/>
      <c r="O192" s="18"/>
    </row>
    <row r="193" spans="2:15">
      <c r="B193" s="18"/>
      <c r="C193" s="18"/>
      <c r="D193" s="18"/>
      <c r="E193" s="18"/>
      <c r="F193" s="18"/>
      <c r="G193" s="18"/>
      <c r="H193" s="18"/>
      <c r="I193" s="18"/>
      <c r="J193" s="18"/>
      <c r="K193" s="18"/>
      <c r="L193" s="18"/>
      <c r="M193" s="18"/>
      <c r="N193" s="18"/>
      <c r="O193" s="18"/>
    </row>
    <row r="194" spans="2:15">
      <c r="B194" s="18"/>
      <c r="C194" s="18"/>
      <c r="D194" s="18"/>
      <c r="E194" s="18"/>
      <c r="F194" s="18"/>
      <c r="G194" s="18"/>
      <c r="H194" s="18"/>
      <c r="I194" s="18"/>
      <c r="J194" s="18"/>
      <c r="K194" s="18"/>
      <c r="L194" s="18"/>
      <c r="M194" s="18"/>
      <c r="N194" s="18"/>
      <c r="O194" s="18"/>
    </row>
    <row r="195" spans="2:15">
      <c r="B195" s="18"/>
      <c r="C195" s="18"/>
      <c r="D195" s="18"/>
      <c r="E195" s="18"/>
      <c r="F195" s="18"/>
      <c r="G195" s="18"/>
      <c r="H195" s="18"/>
      <c r="I195" s="18"/>
      <c r="J195" s="18"/>
      <c r="K195" s="18"/>
      <c r="L195" s="18"/>
      <c r="M195" s="18"/>
      <c r="N195" s="18"/>
      <c r="O195" s="18"/>
    </row>
    <row r="196" spans="2:15">
      <c r="B196" s="18"/>
      <c r="C196" s="18"/>
      <c r="D196" s="18"/>
      <c r="E196" s="18"/>
      <c r="F196" s="18"/>
      <c r="G196" s="18"/>
      <c r="H196" s="18"/>
      <c r="I196" s="18"/>
      <c r="J196" s="18"/>
      <c r="K196" s="18"/>
      <c r="L196" s="18"/>
      <c r="M196" s="18"/>
      <c r="N196" s="18"/>
      <c r="O196" s="18"/>
    </row>
    <row r="197" spans="2:15">
      <c r="B197" s="18"/>
      <c r="C197" s="18"/>
      <c r="D197" s="18"/>
      <c r="E197" s="18"/>
      <c r="F197" s="18"/>
      <c r="G197" s="18"/>
      <c r="H197" s="18"/>
      <c r="I197" s="18"/>
      <c r="J197" s="18"/>
      <c r="K197" s="18"/>
      <c r="L197" s="18"/>
      <c r="M197" s="18"/>
      <c r="N197" s="18"/>
      <c r="O197" s="18"/>
    </row>
    <row r="198" spans="2:15">
      <c r="B198" s="18"/>
      <c r="C198" s="18"/>
      <c r="D198" s="18"/>
      <c r="E198" s="18"/>
      <c r="F198" s="18"/>
      <c r="G198" s="18"/>
      <c r="H198" s="18"/>
      <c r="I198" s="18"/>
      <c r="J198" s="18"/>
      <c r="K198" s="18"/>
      <c r="L198" s="18"/>
      <c r="M198" s="18"/>
      <c r="N198" s="18"/>
      <c r="O198" s="18"/>
    </row>
    <row r="199" spans="2:15">
      <c r="B199" s="18"/>
      <c r="C199" s="18"/>
      <c r="D199" s="18"/>
      <c r="E199" s="18"/>
      <c r="F199" s="18"/>
      <c r="G199" s="18"/>
      <c r="H199" s="18"/>
      <c r="I199" s="18"/>
      <c r="J199" s="18"/>
      <c r="K199" s="18"/>
      <c r="L199" s="18"/>
      <c r="M199" s="18"/>
      <c r="N199" s="18"/>
      <c r="O199" s="18"/>
    </row>
    <row r="200" spans="2:15">
      <c r="B200" s="18"/>
      <c r="C200" s="18"/>
      <c r="D200" s="18"/>
      <c r="E200" s="18"/>
      <c r="F200" s="18"/>
      <c r="G200" s="18"/>
      <c r="H200" s="18"/>
      <c r="I200" s="18"/>
      <c r="J200" s="18"/>
      <c r="K200" s="18"/>
      <c r="L200" s="18"/>
      <c r="M200" s="18"/>
      <c r="N200" s="18"/>
      <c r="O200" s="18"/>
    </row>
    <row r="201" spans="2:15">
      <c r="B201" s="18"/>
      <c r="C201" s="18"/>
      <c r="D201" s="18"/>
      <c r="E201" s="18"/>
      <c r="F201" s="18"/>
      <c r="G201" s="18"/>
      <c r="H201" s="18"/>
      <c r="I201" s="18"/>
      <c r="J201" s="18"/>
      <c r="K201" s="18"/>
      <c r="L201" s="18"/>
      <c r="M201" s="18"/>
      <c r="N201" s="18"/>
      <c r="O201" s="18"/>
    </row>
    <row r="202" spans="2:15">
      <c r="B202" s="18"/>
      <c r="C202" s="18"/>
      <c r="D202" s="18"/>
      <c r="E202" s="18"/>
      <c r="F202" s="18"/>
      <c r="G202" s="18"/>
      <c r="H202" s="18"/>
      <c r="I202" s="18"/>
      <c r="J202" s="18"/>
      <c r="K202" s="18"/>
      <c r="L202" s="18"/>
      <c r="M202" s="18"/>
      <c r="N202" s="18"/>
      <c r="O202" s="18"/>
    </row>
    <row r="203" spans="2:15">
      <c r="B203" s="18"/>
      <c r="C203" s="18"/>
      <c r="D203" s="18"/>
      <c r="E203" s="18"/>
      <c r="F203" s="18"/>
      <c r="G203" s="18"/>
      <c r="H203" s="18"/>
      <c r="I203" s="18"/>
      <c r="J203" s="18"/>
      <c r="K203" s="18"/>
      <c r="L203" s="18"/>
      <c r="M203" s="18"/>
      <c r="N203" s="18"/>
      <c r="O203" s="18"/>
    </row>
    <row r="204" spans="2:15">
      <c r="B204" s="18"/>
      <c r="C204" s="18"/>
      <c r="D204" s="18"/>
      <c r="E204" s="18"/>
      <c r="F204" s="18"/>
      <c r="G204" s="18"/>
      <c r="H204" s="18"/>
      <c r="I204" s="18"/>
      <c r="J204" s="18"/>
      <c r="K204" s="18"/>
      <c r="L204" s="18"/>
      <c r="M204" s="18"/>
      <c r="N204" s="18"/>
      <c r="O204" s="18"/>
    </row>
    <row r="205" spans="2:15">
      <c r="B205" s="18"/>
      <c r="C205" s="18"/>
      <c r="D205" s="18"/>
      <c r="E205" s="18"/>
      <c r="F205" s="18"/>
      <c r="G205" s="18"/>
      <c r="H205" s="18"/>
      <c r="I205" s="18"/>
      <c r="J205" s="18"/>
      <c r="K205" s="18"/>
      <c r="L205" s="18"/>
      <c r="M205" s="18"/>
      <c r="N205" s="18"/>
      <c r="O205" s="18"/>
    </row>
    <row r="206" spans="2:15">
      <c r="B206" s="18"/>
      <c r="C206" s="18"/>
      <c r="D206" s="18"/>
      <c r="E206" s="18"/>
      <c r="F206" s="18"/>
      <c r="G206" s="18"/>
      <c r="H206" s="18"/>
      <c r="I206" s="18"/>
      <c r="J206" s="18"/>
      <c r="K206" s="18"/>
      <c r="L206" s="18"/>
      <c r="M206" s="18"/>
      <c r="N206" s="18"/>
      <c r="O206" s="18"/>
    </row>
    <row r="207" spans="2:15">
      <c r="B207" s="18"/>
      <c r="C207" s="18"/>
      <c r="D207" s="18"/>
      <c r="E207" s="18"/>
      <c r="F207" s="18"/>
      <c r="G207" s="18"/>
      <c r="H207" s="18"/>
      <c r="I207" s="18"/>
      <c r="J207" s="18"/>
      <c r="K207" s="18"/>
      <c r="L207" s="18"/>
      <c r="M207" s="18"/>
      <c r="N207" s="18"/>
      <c r="O207" s="18"/>
    </row>
    <row r="208" spans="2:15">
      <c r="B208" s="18"/>
      <c r="C208" s="18"/>
      <c r="D208" s="18"/>
      <c r="E208" s="18"/>
      <c r="F208" s="18"/>
      <c r="G208" s="18"/>
      <c r="H208" s="18"/>
      <c r="I208" s="18"/>
      <c r="J208" s="18"/>
      <c r="K208" s="18"/>
      <c r="L208" s="18"/>
      <c r="M208" s="18"/>
      <c r="N208" s="18"/>
      <c r="O208" s="18"/>
    </row>
    <row r="209" spans="2:15">
      <c r="B209" s="18"/>
      <c r="C209" s="18"/>
      <c r="D209" s="18"/>
      <c r="E209" s="18"/>
      <c r="F209" s="18"/>
      <c r="G209" s="18"/>
      <c r="H209" s="18"/>
      <c r="I209" s="18"/>
      <c r="J209" s="18"/>
      <c r="K209" s="18"/>
      <c r="L209" s="18"/>
      <c r="M209" s="18"/>
      <c r="N209" s="18"/>
      <c r="O209" s="18"/>
    </row>
    <row r="210" spans="2:15">
      <c r="B210" s="18"/>
      <c r="C210" s="18"/>
      <c r="D210" s="18"/>
      <c r="E210" s="18"/>
      <c r="F210" s="18"/>
      <c r="G210" s="18"/>
      <c r="H210" s="18"/>
      <c r="I210" s="18"/>
      <c r="J210" s="18"/>
      <c r="K210" s="18"/>
      <c r="L210" s="18"/>
      <c r="M210" s="18"/>
      <c r="N210" s="18"/>
      <c r="O210" s="18"/>
    </row>
    <row r="211" spans="2:15">
      <c r="B211" s="18"/>
      <c r="C211" s="18"/>
      <c r="D211" s="18"/>
      <c r="E211" s="18"/>
      <c r="F211" s="18"/>
      <c r="G211" s="18"/>
      <c r="H211" s="18"/>
      <c r="I211" s="18"/>
      <c r="J211" s="18"/>
      <c r="K211" s="18"/>
      <c r="L211" s="18"/>
      <c r="M211" s="18"/>
      <c r="N211" s="18"/>
      <c r="O211" s="18"/>
    </row>
    <row r="212" spans="2:15">
      <c r="B212" s="18"/>
      <c r="C212" s="18"/>
      <c r="D212" s="18"/>
      <c r="E212" s="18"/>
      <c r="F212" s="18"/>
      <c r="G212" s="18"/>
      <c r="H212" s="18"/>
      <c r="I212" s="18"/>
      <c r="J212" s="18"/>
      <c r="K212" s="18"/>
      <c r="L212" s="18"/>
      <c r="M212" s="18"/>
      <c r="N212" s="18"/>
      <c r="O212" s="18"/>
    </row>
    <row r="213" spans="2:15">
      <c r="B213" s="18"/>
      <c r="C213" s="18"/>
      <c r="D213" s="18"/>
      <c r="E213" s="18"/>
      <c r="F213" s="18"/>
      <c r="G213" s="18"/>
      <c r="H213" s="18"/>
      <c r="I213" s="18"/>
      <c r="J213" s="18"/>
      <c r="K213" s="18"/>
      <c r="L213" s="18"/>
      <c r="M213" s="18"/>
      <c r="N213" s="18"/>
      <c r="O213" s="18"/>
    </row>
    <row r="214" spans="2:15">
      <c r="B214" s="18"/>
      <c r="C214" s="18"/>
      <c r="D214" s="18"/>
      <c r="E214" s="18"/>
      <c r="F214" s="18"/>
      <c r="G214" s="18"/>
      <c r="H214" s="18"/>
      <c r="I214" s="18"/>
      <c r="J214" s="18"/>
      <c r="K214" s="18"/>
      <c r="L214" s="18"/>
      <c r="M214" s="18"/>
      <c r="N214" s="18"/>
      <c r="O214" s="18"/>
    </row>
    <row r="215" spans="2:15">
      <c r="B215" s="18"/>
      <c r="C215" s="18"/>
      <c r="D215" s="18"/>
      <c r="E215" s="18"/>
      <c r="F215" s="18"/>
      <c r="G215" s="18"/>
      <c r="H215" s="18"/>
      <c r="I215" s="18"/>
      <c r="J215" s="18"/>
      <c r="K215" s="18"/>
      <c r="L215" s="18"/>
      <c r="M215" s="18"/>
      <c r="N215" s="18"/>
      <c r="O215" s="18"/>
    </row>
    <row r="216" spans="2:15">
      <c r="B216" s="18"/>
      <c r="C216" s="18"/>
      <c r="D216" s="18"/>
      <c r="E216" s="18"/>
      <c r="F216" s="18"/>
      <c r="G216" s="18"/>
      <c r="H216" s="18"/>
      <c r="I216" s="18"/>
      <c r="J216" s="18"/>
      <c r="K216" s="18"/>
      <c r="L216" s="18"/>
      <c r="M216" s="18"/>
      <c r="N216" s="18"/>
      <c r="O216" s="18"/>
    </row>
    <row r="217" spans="2:15">
      <c r="B217" s="18"/>
      <c r="C217" s="18"/>
      <c r="D217" s="18"/>
      <c r="E217" s="18"/>
      <c r="F217" s="18"/>
      <c r="G217" s="18"/>
      <c r="H217" s="18"/>
      <c r="I217" s="18"/>
      <c r="J217" s="18"/>
      <c r="K217" s="18"/>
      <c r="L217" s="18"/>
      <c r="M217" s="18"/>
      <c r="N217" s="18"/>
      <c r="O217" s="18"/>
    </row>
    <row r="218" spans="2:15">
      <c r="B218" s="18"/>
      <c r="C218" s="18"/>
      <c r="D218" s="18"/>
      <c r="E218" s="18"/>
      <c r="F218" s="18"/>
      <c r="G218" s="18"/>
      <c r="H218" s="18"/>
      <c r="I218" s="18"/>
      <c r="J218" s="18"/>
      <c r="K218" s="18"/>
      <c r="L218" s="18"/>
      <c r="M218" s="18"/>
      <c r="N218" s="18"/>
      <c r="O218" s="18"/>
    </row>
    <row r="219" spans="2:15">
      <c r="B219" s="18"/>
      <c r="C219" s="18"/>
      <c r="D219" s="18"/>
      <c r="E219" s="18"/>
      <c r="F219" s="18"/>
      <c r="G219" s="18"/>
      <c r="H219" s="18"/>
      <c r="I219" s="18"/>
      <c r="J219" s="18"/>
      <c r="K219" s="18"/>
      <c r="L219" s="18"/>
      <c r="M219" s="18"/>
      <c r="N219" s="18"/>
      <c r="O219" s="18"/>
    </row>
    <row r="220" spans="2:15">
      <c r="B220" s="18"/>
      <c r="C220" s="18"/>
      <c r="D220" s="18"/>
      <c r="E220" s="18"/>
      <c r="F220" s="18"/>
      <c r="G220" s="18"/>
      <c r="H220" s="18"/>
      <c r="I220" s="18"/>
      <c r="J220" s="18"/>
      <c r="K220" s="18"/>
      <c r="L220" s="18"/>
      <c r="M220" s="18"/>
      <c r="N220" s="18"/>
      <c r="O220" s="18"/>
    </row>
    <row r="221" spans="2:15">
      <c r="B221" s="18"/>
      <c r="C221" s="18"/>
      <c r="D221" s="18"/>
      <c r="E221" s="18"/>
      <c r="F221" s="18"/>
      <c r="G221" s="18"/>
      <c r="H221" s="18"/>
      <c r="I221" s="18"/>
      <c r="J221" s="18"/>
      <c r="K221" s="18"/>
      <c r="L221" s="18"/>
      <c r="M221" s="18"/>
      <c r="N221" s="18"/>
      <c r="O221" s="18"/>
    </row>
    <row r="222" spans="2:15">
      <c r="B222" s="18"/>
      <c r="C222" s="18"/>
      <c r="D222" s="18"/>
      <c r="E222" s="18"/>
      <c r="F222" s="18"/>
      <c r="G222" s="18"/>
      <c r="H222" s="18"/>
      <c r="I222" s="18"/>
      <c r="J222" s="18"/>
      <c r="K222" s="18"/>
      <c r="L222" s="18"/>
      <c r="M222" s="18"/>
      <c r="N222" s="18"/>
      <c r="O222" s="18"/>
    </row>
    <row r="223" spans="2:15">
      <c r="B223" s="18"/>
      <c r="C223" s="18"/>
      <c r="D223" s="18"/>
      <c r="E223" s="18"/>
      <c r="F223" s="18"/>
      <c r="G223" s="18"/>
      <c r="H223" s="18"/>
      <c r="I223" s="18"/>
      <c r="J223" s="18"/>
      <c r="K223" s="18"/>
      <c r="L223" s="18"/>
      <c r="M223" s="18"/>
      <c r="N223" s="18"/>
      <c r="O223" s="18"/>
    </row>
    <row r="224" spans="2:15">
      <c r="B224" s="18"/>
      <c r="C224" s="18"/>
      <c r="D224" s="18"/>
      <c r="E224" s="18"/>
      <c r="F224" s="18"/>
      <c r="G224" s="18"/>
      <c r="H224" s="18"/>
      <c r="I224" s="18"/>
      <c r="J224" s="18"/>
      <c r="K224" s="18"/>
      <c r="L224" s="18"/>
      <c r="M224" s="18"/>
      <c r="N224" s="18"/>
      <c r="O224" s="18"/>
    </row>
    <row r="225" spans="2:15">
      <c r="B225" s="18"/>
      <c r="C225" s="18"/>
      <c r="D225" s="18"/>
      <c r="E225" s="18"/>
      <c r="F225" s="18"/>
      <c r="G225" s="18"/>
      <c r="H225" s="18"/>
      <c r="I225" s="18"/>
      <c r="J225" s="18"/>
      <c r="K225" s="18"/>
      <c r="L225" s="18"/>
      <c r="M225" s="18"/>
      <c r="N225" s="18"/>
      <c r="O225" s="18"/>
    </row>
    <row r="226" spans="2:15">
      <c r="B226" s="18"/>
      <c r="C226" s="18"/>
      <c r="D226" s="18"/>
      <c r="E226" s="18"/>
      <c r="F226" s="18"/>
      <c r="G226" s="18"/>
      <c r="H226" s="18"/>
      <c r="I226" s="18"/>
      <c r="J226" s="18"/>
      <c r="K226" s="18"/>
      <c r="L226" s="18"/>
      <c r="M226" s="18"/>
      <c r="N226" s="18"/>
      <c r="O226" s="18"/>
    </row>
    <row r="227" spans="2:15">
      <c r="B227" s="18"/>
      <c r="C227" s="18"/>
      <c r="D227" s="18"/>
      <c r="E227" s="18"/>
      <c r="F227" s="18"/>
      <c r="G227" s="18"/>
      <c r="H227" s="18"/>
      <c r="I227" s="18"/>
      <c r="J227" s="18"/>
      <c r="K227" s="18"/>
      <c r="L227" s="18"/>
      <c r="M227" s="18"/>
      <c r="N227" s="18"/>
      <c r="O227" s="18"/>
    </row>
    <row r="228" spans="2:15">
      <c r="B228" s="18"/>
      <c r="C228" s="18"/>
      <c r="D228" s="18"/>
      <c r="E228" s="18"/>
      <c r="F228" s="18"/>
      <c r="G228" s="18"/>
      <c r="H228" s="18"/>
      <c r="I228" s="18"/>
      <c r="J228" s="18"/>
      <c r="K228" s="18"/>
      <c r="L228" s="18"/>
      <c r="M228" s="18"/>
      <c r="N228" s="18"/>
      <c r="O228" s="18"/>
    </row>
    <row r="229" spans="2:15">
      <c r="B229" s="18"/>
      <c r="C229" s="18"/>
      <c r="D229" s="18"/>
      <c r="E229" s="18"/>
      <c r="F229" s="18"/>
      <c r="G229" s="18"/>
      <c r="H229" s="18"/>
      <c r="I229" s="18"/>
      <c r="J229" s="18"/>
      <c r="K229" s="18"/>
      <c r="L229" s="18"/>
      <c r="M229" s="18"/>
      <c r="N229" s="18"/>
      <c r="O229" s="18"/>
    </row>
    <row r="230" spans="2:15">
      <c r="B230" s="18"/>
      <c r="C230" s="18"/>
      <c r="D230" s="18"/>
      <c r="E230" s="18"/>
      <c r="F230" s="18"/>
      <c r="G230" s="18"/>
      <c r="H230" s="18"/>
      <c r="I230" s="18"/>
      <c r="J230" s="18"/>
      <c r="K230" s="18"/>
      <c r="L230" s="18"/>
      <c r="M230" s="18"/>
      <c r="N230" s="18"/>
      <c r="O230" s="18"/>
    </row>
    <row r="231" spans="2:15">
      <c r="B231" s="18"/>
      <c r="C231" s="18"/>
      <c r="D231" s="18"/>
      <c r="E231" s="18"/>
      <c r="F231" s="18"/>
      <c r="G231" s="18"/>
      <c r="H231" s="18"/>
      <c r="I231" s="18"/>
      <c r="J231" s="18"/>
      <c r="K231" s="18"/>
      <c r="L231" s="18"/>
      <c r="M231" s="18"/>
      <c r="N231" s="18"/>
      <c r="O231" s="18"/>
    </row>
    <row r="232" spans="2:15">
      <c r="B232" s="18"/>
      <c r="C232" s="18"/>
      <c r="D232" s="18"/>
      <c r="E232" s="18"/>
      <c r="F232" s="18"/>
      <c r="G232" s="18"/>
      <c r="H232" s="18"/>
      <c r="I232" s="18"/>
      <c r="J232" s="18"/>
      <c r="K232" s="18"/>
      <c r="L232" s="18"/>
      <c r="M232" s="18"/>
      <c r="N232" s="18"/>
      <c r="O232" s="18"/>
    </row>
    <row r="233" spans="2:15">
      <c r="B233" s="18"/>
      <c r="C233" s="18"/>
      <c r="D233" s="18"/>
      <c r="E233" s="18"/>
      <c r="F233" s="18"/>
      <c r="G233" s="18"/>
      <c r="H233" s="18"/>
      <c r="I233" s="18"/>
      <c r="J233" s="18"/>
      <c r="K233" s="18"/>
      <c r="L233" s="18"/>
      <c r="M233" s="18"/>
      <c r="N233" s="18"/>
      <c r="O233" s="18"/>
    </row>
    <row r="234" spans="2:15">
      <c r="B234" s="18"/>
      <c r="C234" s="18"/>
      <c r="D234" s="18"/>
      <c r="E234" s="18"/>
      <c r="F234" s="18"/>
      <c r="G234" s="18"/>
      <c r="H234" s="18"/>
      <c r="I234" s="18"/>
      <c r="J234" s="18"/>
      <c r="K234" s="18"/>
      <c r="L234" s="18"/>
      <c r="M234" s="18"/>
      <c r="N234" s="18"/>
      <c r="O234" s="18"/>
    </row>
    <row r="235" spans="2:15">
      <c r="B235" s="18"/>
      <c r="C235" s="18"/>
      <c r="D235" s="18"/>
      <c r="E235" s="18"/>
      <c r="F235" s="18"/>
      <c r="G235" s="18"/>
      <c r="H235" s="18"/>
      <c r="I235" s="18"/>
      <c r="J235" s="18"/>
      <c r="K235" s="18"/>
      <c r="L235" s="18"/>
      <c r="M235" s="18"/>
      <c r="N235" s="18"/>
      <c r="O235" s="18"/>
    </row>
    <row r="236" spans="2:15">
      <c r="B236" s="18"/>
      <c r="C236" s="18"/>
      <c r="D236" s="18"/>
      <c r="E236" s="18"/>
      <c r="F236" s="18"/>
      <c r="G236" s="18"/>
      <c r="H236" s="18"/>
      <c r="I236" s="18"/>
      <c r="J236" s="18"/>
      <c r="K236" s="18"/>
      <c r="L236" s="18"/>
      <c r="M236" s="18"/>
      <c r="N236" s="18"/>
      <c r="O236" s="18"/>
    </row>
    <row r="237" spans="2:15">
      <c r="B237" s="18"/>
      <c r="C237" s="18"/>
      <c r="D237" s="18"/>
      <c r="E237" s="18"/>
      <c r="F237" s="18"/>
      <c r="G237" s="18"/>
      <c r="H237" s="18"/>
      <c r="I237" s="18"/>
      <c r="J237" s="18"/>
      <c r="K237" s="18"/>
      <c r="L237" s="18"/>
      <c r="M237" s="18"/>
      <c r="N237" s="18"/>
      <c r="O237" s="18"/>
    </row>
    <row r="238" spans="2:15">
      <c r="B238" s="18"/>
      <c r="C238" s="18"/>
      <c r="D238" s="18"/>
      <c r="E238" s="18"/>
      <c r="F238" s="18"/>
      <c r="G238" s="18"/>
      <c r="H238" s="18"/>
      <c r="I238" s="18"/>
      <c r="J238" s="18"/>
      <c r="K238" s="18"/>
      <c r="L238" s="18"/>
      <c r="M238" s="18"/>
      <c r="N238" s="18"/>
      <c r="O238" s="18"/>
    </row>
    <row r="239" spans="2:15">
      <c r="B239" s="18"/>
      <c r="C239" s="18"/>
      <c r="D239" s="18"/>
      <c r="E239" s="18"/>
      <c r="F239" s="18"/>
      <c r="G239" s="18"/>
      <c r="H239" s="18"/>
      <c r="I239" s="18"/>
      <c r="J239" s="18"/>
      <c r="K239" s="18"/>
      <c r="L239" s="18"/>
      <c r="M239" s="18"/>
      <c r="N239" s="18"/>
      <c r="O239" s="18"/>
    </row>
    <row r="240" spans="2:15">
      <c r="B240" s="18"/>
      <c r="C240" s="18"/>
      <c r="D240" s="18"/>
      <c r="E240" s="18"/>
      <c r="F240" s="18"/>
      <c r="G240" s="18"/>
      <c r="H240" s="18"/>
      <c r="I240" s="18"/>
      <c r="J240" s="18"/>
      <c r="K240" s="18"/>
      <c r="L240" s="18"/>
      <c r="M240" s="18"/>
      <c r="N240" s="18"/>
      <c r="O240" s="18"/>
    </row>
    <row r="241" spans="2:15">
      <c r="B241" s="18"/>
      <c r="C241" s="18"/>
      <c r="D241" s="18"/>
      <c r="E241" s="18"/>
      <c r="F241" s="18"/>
      <c r="G241" s="18"/>
      <c r="H241" s="18"/>
      <c r="I241" s="18"/>
      <c r="J241" s="18"/>
      <c r="K241" s="18"/>
      <c r="L241" s="18"/>
      <c r="M241" s="18"/>
      <c r="N241" s="18"/>
      <c r="O241" s="18"/>
    </row>
    <row r="242" spans="2:15">
      <c r="B242" s="18"/>
      <c r="C242" s="18"/>
      <c r="D242" s="18"/>
      <c r="E242" s="18"/>
      <c r="F242" s="18"/>
      <c r="G242" s="18"/>
      <c r="H242" s="18"/>
      <c r="I242" s="18"/>
      <c r="J242" s="18"/>
      <c r="K242" s="18"/>
      <c r="L242" s="18"/>
      <c r="M242" s="18"/>
      <c r="N242" s="18"/>
      <c r="O242" s="18"/>
    </row>
    <row r="243" spans="2:15">
      <c r="B243" s="18"/>
      <c r="C243" s="18"/>
      <c r="D243" s="18"/>
      <c r="E243" s="18"/>
      <c r="F243" s="18"/>
      <c r="G243" s="18"/>
      <c r="H243" s="18"/>
      <c r="I243" s="18"/>
      <c r="J243" s="18"/>
      <c r="K243" s="18"/>
      <c r="L243" s="18"/>
      <c r="M243" s="18"/>
      <c r="N243" s="18"/>
      <c r="O243" s="18"/>
    </row>
    <row r="244" spans="2:15">
      <c r="B244" s="18"/>
      <c r="C244" s="18"/>
      <c r="D244" s="18"/>
      <c r="E244" s="18"/>
      <c r="F244" s="18"/>
      <c r="G244" s="18"/>
      <c r="H244" s="18"/>
      <c r="I244" s="18"/>
      <c r="J244" s="18"/>
      <c r="K244" s="18"/>
      <c r="L244" s="18"/>
      <c r="M244" s="18"/>
      <c r="N244" s="18"/>
      <c r="O244" s="18"/>
    </row>
    <row r="245" spans="2:15">
      <c r="B245" s="18"/>
      <c r="C245" s="18"/>
      <c r="D245" s="18"/>
      <c r="E245" s="18"/>
      <c r="F245" s="18"/>
      <c r="G245" s="18"/>
      <c r="H245" s="18"/>
      <c r="I245" s="18"/>
      <c r="J245" s="18"/>
      <c r="K245" s="18"/>
      <c r="L245" s="18"/>
      <c r="M245" s="18"/>
      <c r="N245" s="18"/>
      <c r="O245" s="18"/>
    </row>
    <row r="246" spans="2:15">
      <c r="B246" s="18"/>
      <c r="C246" s="18"/>
      <c r="D246" s="18"/>
      <c r="E246" s="18"/>
      <c r="F246" s="18"/>
      <c r="G246" s="18"/>
      <c r="H246" s="18"/>
      <c r="I246" s="18"/>
      <c r="J246" s="18"/>
      <c r="K246" s="18"/>
      <c r="L246" s="18"/>
      <c r="M246" s="18"/>
      <c r="N246" s="18"/>
      <c r="O246" s="18"/>
    </row>
    <row r="247" spans="2:15">
      <c r="B247" s="18"/>
      <c r="C247" s="18"/>
      <c r="D247" s="18"/>
      <c r="E247" s="18"/>
      <c r="F247" s="18"/>
      <c r="G247" s="18"/>
      <c r="H247" s="18"/>
      <c r="I247" s="18"/>
      <c r="J247" s="18"/>
      <c r="K247" s="18"/>
      <c r="L247" s="18"/>
      <c r="M247" s="18"/>
      <c r="N247" s="18"/>
      <c r="O247" s="18"/>
    </row>
    <row r="248" spans="2:15">
      <c r="B248" s="18"/>
      <c r="C248" s="18"/>
      <c r="D248" s="18"/>
      <c r="E248" s="18"/>
      <c r="F248" s="18"/>
      <c r="G248" s="18"/>
      <c r="H248" s="18"/>
      <c r="I248" s="18"/>
      <c r="J248" s="18"/>
      <c r="K248" s="18"/>
      <c r="L248" s="18"/>
      <c r="M248" s="18"/>
      <c r="N248" s="18"/>
      <c r="O248" s="18"/>
    </row>
    <row r="249" spans="2:15">
      <c r="B249" s="18"/>
      <c r="C249" s="18"/>
      <c r="D249" s="18"/>
      <c r="E249" s="18"/>
      <c r="F249" s="18"/>
      <c r="G249" s="18"/>
      <c r="H249" s="18"/>
      <c r="I249" s="18"/>
      <c r="J249" s="18"/>
      <c r="K249" s="18"/>
      <c r="L249" s="18"/>
      <c r="M249" s="18"/>
      <c r="N249" s="18"/>
      <c r="O249" s="18"/>
    </row>
    <row r="250" spans="2:15">
      <c r="B250" s="18"/>
      <c r="C250" s="18"/>
      <c r="D250" s="18"/>
      <c r="E250" s="18"/>
      <c r="F250" s="18"/>
      <c r="G250" s="18"/>
      <c r="H250" s="18"/>
      <c r="I250" s="18"/>
      <c r="J250" s="18"/>
      <c r="K250" s="18"/>
      <c r="L250" s="18"/>
      <c r="M250" s="18"/>
      <c r="N250" s="18"/>
      <c r="O250" s="18"/>
    </row>
    <row r="251" spans="2:15">
      <c r="B251" s="18"/>
      <c r="C251" s="18"/>
      <c r="D251" s="18"/>
      <c r="E251" s="18"/>
      <c r="F251" s="18"/>
      <c r="G251" s="18"/>
      <c r="H251" s="18"/>
      <c r="I251" s="18"/>
      <c r="J251" s="18"/>
      <c r="K251" s="18"/>
      <c r="L251" s="18"/>
      <c r="M251" s="18"/>
      <c r="N251" s="18"/>
      <c r="O251" s="18"/>
    </row>
    <row r="252" spans="2:15">
      <c r="B252" s="18"/>
      <c r="C252" s="18"/>
      <c r="D252" s="18"/>
      <c r="E252" s="18"/>
      <c r="F252" s="18"/>
      <c r="G252" s="18"/>
      <c r="H252" s="18"/>
      <c r="I252" s="18"/>
      <c r="J252" s="18"/>
      <c r="K252" s="18"/>
      <c r="L252" s="18"/>
      <c r="M252" s="18"/>
      <c r="N252" s="18"/>
      <c r="O252" s="18"/>
    </row>
    <row r="253" spans="2:15">
      <c r="B253" s="18"/>
      <c r="C253" s="18"/>
      <c r="D253" s="18"/>
      <c r="E253" s="18"/>
      <c r="F253" s="18"/>
      <c r="G253" s="18"/>
      <c r="H253" s="18"/>
      <c r="I253" s="18"/>
      <c r="J253" s="18"/>
      <c r="K253" s="18"/>
      <c r="L253" s="18"/>
      <c r="M253" s="18"/>
      <c r="N253" s="18"/>
      <c r="O253" s="18"/>
    </row>
    <row r="254" spans="2:15">
      <c r="B254" s="18"/>
      <c r="C254" s="18"/>
      <c r="D254" s="18"/>
      <c r="E254" s="18"/>
      <c r="F254" s="18"/>
      <c r="G254" s="18"/>
      <c r="H254" s="18"/>
      <c r="I254" s="18"/>
      <c r="J254" s="18"/>
      <c r="K254" s="18"/>
      <c r="L254" s="18"/>
      <c r="M254" s="18"/>
      <c r="N254" s="18"/>
      <c r="O254" s="18"/>
    </row>
    <row r="255" spans="2:15">
      <c r="B255" s="18"/>
      <c r="C255" s="18"/>
      <c r="D255" s="18"/>
      <c r="E255" s="18"/>
      <c r="F255" s="18"/>
      <c r="G255" s="18"/>
      <c r="H255" s="18"/>
      <c r="I255" s="18"/>
      <c r="J255" s="18"/>
      <c r="K255" s="18"/>
      <c r="L255" s="18"/>
      <c r="M255" s="18"/>
      <c r="N255" s="18"/>
      <c r="O255" s="18"/>
    </row>
    <row r="256" spans="2:15">
      <c r="B256" s="18"/>
      <c r="C256" s="18"/>
      <c r="D256" s="18"/>
      <c r="E256" s="18"/>
      <c r="F256" s="18"/>
      <c r="G256" s="18"/>
      <c r="H256" s="18"/>
      <c r="I256" s="18"/>
      <c r="J256" s="18"/>
      <c r="K256" s="18"/>
      <c r="L256" s="18"/>
      <c r="M256" s="18"/>
      <c r="N256" s="18"/>
      <c r="O256" s="18"/>
    </row>
    <row r="257" spans="2:15">
      <c r="B257" s="18"/>
      <c r="C257" s="18"/>
      <c r="D257" s="18"/>
      <c r="E257" s="18"/>
      <c r="F257" s="18"/>
      <c r="G257" s="18"/>
      <c r="H257" s="18"/>
      <c r="I257" s="18"/>
      <c r="J257" s="18"/>
      <c r="K257" s="18"/>
      <c r="L257" s="18"/>
      <c r="M257" s="18"/>
      <c r="N257" s="18"/>
      <c r="O257" s="18"/>
    </row>
    <row r="258" spans="2:15">
      <c r="B258" s="18"/>
      <c r="C258" s="18"/>
      <c r="D258" s="18"/>
      <c r="E258" s="18"/>
      <c r="F258" s="18"/>
      <c r="G258" s="18"/>
      <c r="H258" s="18"/>
      <c r="I258" s="18"/>
      <c r="J258" s="18"/>
      <c r="K258" s="18"/>
      <c r="L258" s="18"/>
      <c r="M258" s="18"/>
      <c r="N258" s="18"/>
      <c r="O258" s="18"/>
    </row>
    <row r="259" spans="2:15">
      <c r="B259" s="18"/>
      <c r="C259" s="18"/>
      <c r="D259" s="18"/>
      <c r="E259" s="18"/>
      <c r="F259" s="18"/>
      <c r="G259" s="18"/>
      <c r="H259" s="18"/>
      <c r="I259" s="18"/>
      <c r="J259" s="18"/>
      <c r="K259" s="18"/>
      <c r="L259" s="18"/>
      <c r="M259" s="18"/>
      <c r="N259" s="18"/>
      <c r="O259" s="18"/>
    </row>
    <row r="260" spans="2:15">
      <c r="B260" s="18"/>
      <c r="C260" s="18"/>
      <c r="D260" s="18"/>
      <c r="E260" s="18"/>
      <c r="F260" s="18"/>
      <c r="G260" s="18"/>
      <c r="H260" s="18"/>
      <c r="I260" s="18"/>
      <c r="J260" s="18"/>
      <c r="K260" s="18"/>
      <c r="L260" s="18"/>
      <c r="M260" s="18"/>
      <c r="N260" s="18"/>
      <c r="O260" s="18"/>
    </row>
    <row r="261" spans="2:15">
      <c r="B261" s="18"/>
      <c r="C261" s="18"/>
      <c r="D261" s="18"/>
      <c r="E261" s="18"/>
      <c r="F261" s="18"/>
      <c r="G261" s="18"/>
      <c r="H261" s="18"/>
      <c r="I261" s="18"/>
      <c r="J261" s="18"/>
      <c r="K261" s="18"/>
      <c r="L261" s="18"/>
      <c r="M261" s="18"/>
      <c r="N261" s="18"/>
      <c r="O261" s="18"/>
    </row>
    <row r="262" spans="2:15">
      <c r="B262" s="18"/>
      <c r="C262" s="18"/>
      <c r="D262" s="18"/>
      <c r="E262" s="18"/>
      <c r="F262" s="18"/>
      <c r="G262" s="18"/>
      <c r="H262" s="18"/>
      <c r="I262" s="18"/>
      <c r="J262" s="18"/>
      <c r="K262" s="18"/>
      <c r="L262" s="18"/>
      <c r="M262" s="18"/>
      <c r="N262" s="18"/>
      <c r="O262" s="18"/>
    </row>
    <row r="263" spans="2:15">
      <c r="B263" s="18"/>
      <c r="C263" s="18"/>
      <c r="D263" s="18"/>
      <c r="E263" s="18"/>
      <c r="F263" s="18"/>
      <c r="G263" s="18"/>
      <c r="H263" s="18"/>
      <c r="I263" s="18"/>
      <c r="J263" s="18"/>
      <c r="K263" s="18"/>
      <c r="L263" s="18"/>
      <c r="M263" s="18"/>
      <c r="N263" s="18"/>
      <c r="O263" s="18"/>
    </row>
    <row r="264" spans="2:15">
      <c r="B264" s="18"/>
      <c r="C264" s="18"/>
      <c r="D264" s="18"/>
      <c r="E264" s="18"/>
      <c r="F264" s="18"/>
      <c r="G264" s="18"/>
      <c r="H264" s="18"/>
      <c r="I264" s="18"/>
      <c r="J264" s="18"/>
      <c r="K264" s="18"/>
      <c r="L264" s="18"/>
      <c r="M264" s="18"/>
      <c r="N264" s="18"/>
      <c r="O264" s="18"/>
    </row>
    <row r="265" spans="2:15">
      <c r="B265" s="18"/>
      <c r="C265" s="18"/>
      <c r="D265" s="18"/>
      <c r="E265" s="18"/>
      <c r="F265" s="18"/>
      <c r="G265" s="18"/>
      <c r="H265" s="18"/>
      <c r="I265" s="18"/>
      <c r="J265" s="18"/>
      <c r="K265" s="18"/>
      <c r="L265" s="18"/>
      <c r="M265" s="18"/>
      <c r="N265" s="18"/>
      <c r="O265" s="18"/>
    </row>
    <row r="266" spans="2:15">
      <c r="B266" s="18"/>
      <c r="C266" s="18"/>
      <c r="D266" s="18"/>
      <c r="E266" s="18"/>
      <c r="F266" s="18"/>
      <c r="G266" s="18"/>
      <c r="H266" s="18"/>
      <c r="I266" s="18"/>
      <c r="J266" s="18"/>
      <c r="K266" s="18"/>
      <c r="L266" s="18"/>
      <c r="M266" s="18"/>
      <c r="N266" s="18"/>
      <c r="O266" s="18"/>
    </row>
    <row r="267" spans="2:15">
      <c r="B267" s="18"/>
      <c r="C267" s="18"/>
      <c r="D267" s="18"/>
      <c r="E267" s="18"/>
      <c r="F267" s="18"/>
      <c r="G267" s="18"/>
      <c r="H267" s="18"/>
      <c r="I267" s="18"/>
      <c r="J267" s="18"/>
      <c r="K267" s="18"/>
      <c r="L267" s="18"/>
      <c r="M267" s="18"/>
      <c r="N267" s="18"/>
      <c r="O267" s="18"/>
    </row>
    <row r="268" spans="2:15">
      <c r="B268" s="18"/>
      <c r="C268" s="18"/>
      <c r="D268" s="18"/>
      <c r="E268" s="18"/>
      <c r="F268" s="18"/>
      <c r="G268" s="18"/>
      <c r="H268" s="18"/>
      <c r="I268" s="18"/>
      <c r="J268" s="18"/>
      <c r="K268" s="18"/>
      <c r="L268" s="18"/>
      <c r="M268" s="18"/>
      <c r="N268" s="18"/>
      <c r="O268" s="18"/>
    </row>
    <row r="269" spans="2:15">
      <c r="B269" s="18"/>
      <c r="C269" s="18"/>
      <c r="D269" s="18"/>
      <c r="E269" s="18"/>
      <c r="F269" s="18"/>
      <c r="G269" s="18"/>
      <c r="H269" s="18"/>
      <c r="I269" s="18"/>
      <c r="J269" s="18"/>
      <c r="K269" s="18"/>
      <c r="L269" s="18"/>
      <c r="M269" s="18"/>
      <c r="N269" s="18"/>
      <c r="O269" s="18"/>
    </row>
    <row r="270" spans="2:15">
      <c r="B270" s="18"/>
      <c r="C270" s="18"/>
      <c r="D270" s="18"/>
      <c r="E270" s="18"/>
      <c r="F270" s="18"/>
      <c r="G270" s="18"/>
      <c r="H270" s="18"/>
      <c r="I270" s="18"/>
      <c r="J270" s="18"/>
      <c r="K270" s="18"/>
      <c r="L270" s="18"/>
      <c r="M270" s="18"/>
      <c r="N270" s="18"/>
      <c r="O270" s="18"/>
    </row>
    <row r="271" spans="2:15">
      <c r="B271" s="18"/>
      <c r="C271" s="18"/>
      <c r="D271" s="18"/>
      <c r="E271" s="18"/>
      <c r="F271" s="18"/>
      <c r="G271" s="18"/>
      <c r="H271" s="18"/>
      <c r="I271" s="18"/>
      <c r="J271" s="18"/>
      <c r="K271" s="18"/>
      <c r="L271" s="18"/>
      <c r="M271" s="18"/>
      <c r="N271" s="18"/>
      <c r="O271" s="18"/>
    </row>
    <row r="272" spans="2:15">
      <c r="B272" s="18"/>
      <c r="C272" s="18"/>
      <c r="D272" s="18"/>
      <c r="E272" s="18"/>
      <c r="F272" s="18"/>
      <c r="G272" s="18"/>
      <c r="H272" s="18"/>
      <c r="I272" s="18"/>
      <c r="J272" s="18"/>
      <c r="K272" s="18"/>
      <c r="L272" s="18"/>
      <c r="M272" s="18"/>
      <c r="N272" s="18"/>
      <c r="O272" s="18"/>
    </row>
    <row r="273" spans="2:15">
      <c r="B273" s="18"/>
      <c r="C273" s="18"/>
      <c r="D273" s="18"/>
      <c r="E273" s="18"/>
      <c r="F273" s="18"/>
      <c r="G273" s="18"/>
      <c r="H273" s="18"/>
      <c r="I273" s="18"/>
      <c r="J273" s="18"/>
      <c r="K273" s="18"/>
      <c r="L273" s="18"/>
      <c r="M273" s="18"/>
      <c r="N273" s="18"/>
      <c r="O273" s="18"/>
    </row>
    <row r="274" spans="2:15">
      <c r="B274" s="18"/>
      <c r="C274" s="18"/>
      <c r="D274" s="18"/>
      <c r="E274" s="18"/>
      <c r="F274" s="18"/>
      <c r="G274" s="18"/>
      <c r="H274" s="18"/>
      <c r="I274" s="18"/>
      <c r="J274" s="18"/>
      <c r="K274" s="18"/>
      <c r="L274" s="18"/>
      <c r="M274" s="18"/>
      <c r="N274" s="18"/>
      <c r="O274" s="18"/>
    </row>
    <row r="275" spans="2:15">
      <c r="B275" s="18"/>
      <c r="C275" s="18"/>
      <c r="D275" s="18"/>
      <c r="E275" s="18"/>
      <c r="F275" s="18"/>
      <c r="G275" s="18"/>
      <c r="H275" s="18"/>
      <c r="I275" s="18"/>
      <c r="J275" s="18"/>
      <c r="K275" s="18"/>
      <c r="L275" s="18"/>
      <c r="M275" s="18"/>
      <c r="N275" s="18"/>
      <c r="O275" s="18"/>
    </row>
    <row r="276" spans="2:15">
      <c r="B276" s="18"/>
      <c r="C276" s="18"/>
      <c r="D276" s="18"/>
      <c r="E276" s="18"/>
      <c r="F276" s="18"/>
      <c r="G276" s="18"/>
      <c r="H276" s="18"/>
      <c r="I276" s="18"/>
      <c r="J276" s="18"/>
      <c r="K276" s="18"/>
      <c r="L276" s="18"/>
      <c r="M276" s="18"/>
      <c r="N276" s="18"/>
      <c r="O276" s="18"/>
    </row>
    <row r="277" spans="2:15">
      <c r="B277" s="18"/>
      <c r="C277" s="18"/>
      <c r="D277" s="18"/>
      <c r="E277" s="18"/>
      <c r="F277" s="18"/>
      <c r="G277" s="18"/>
      <c r="H277" s="18"/>
      <c r="I277" s="18"/>
      <c r="J277" s="18"/>
      <c r="K277" s="18"/>
      <c r="L277" s="18"/>
      <c r="M277" s="18"/>
      <c r="N277" s="18"/>
      <c r="O277" s="18"/>
    </row>
    <row r="278" spans="2:15">
      <c r="B278" s="18"/>
      <c r="C278" s="18"/>
      <c r="D278" s="18"/>
      <c r="E278" s="18"/>
      <c r="F278" s="18"/>
      <c r="G278" s="18"/>
      <c r="H278" s="18"/>
      <c r="I278" s="18"/>
      <c r="J278" s="18"/>
      <c r="K278" s="18"/>
      <c r="L278" s="18"/>
      <c r="M278" s="18"/>
      <c r="N278" s="18"/>
      <c r="O278" s="18"/>
    </row>
    <row r="279" spans="2:15">
      <c r="B279" s="18"/>
      <c r="C279" s="18"/>
      <c r="D279" s="18"/>
      <c r="E279" s="18"/>
      <c r="F279" s="18"/>
      <c r="G279" s="18"/>
      <c r="H279" s="18"/>
      <c r="I279" s="18"/>
      <c r="J279" s="18"/>
      <c r="K279" s="18"/>
      <c r="L279" s="18"/>
      <c r="M279" s="18"/>
      <c r="N279" s="18"/>
      <c r="O279" s="18"/>
    </row>
    <row r="280" spans="2:15">
      <c r="B280" s="18"/>
      <c r="C280" s="18"/>
      <c r="D280" s="18"/>
      <c r="E280" s="18"/>
      <c r="F280" s="18"/>
      <c r="G280" s="18"/>
      <c r="H280" s="18"/>
      <c r="I280" s="18"/>
      <c r="J280" s="18"/>
      <c r="K280" s="18"/>
      <c r="L280" s="18"/>
      <c r="M280" s="18"/>
      <c r="N280" s="18"/>
      <c r="O280" s="18"/>
    </row>
    <row r="281" spans="2:15">
      <c r="B281" s="18"/>
      <c r="C281" s="18"/>
      <c r="D281" s="18"/>
      <c r="E281" s="18"/>
      <c r="F281" s="18"/>
      <c r="G281" s="18"/>
      <c r="H281" s="18"/>
      <c r="I281" s="18"/>
      <c r="J281" s="18"/>
      <c r="K281" s="18"/>
      <c r="L281" s="18"/>
      <c r="M281" s="18"/>
      <c r="N281" s="18"/>
      <c r="O281" s="18"/>
    </row>
    <row r="282" spans="2:15">
      <c r="B282" s="18"/>
      <c r="C282" s="18"/>
      <c r="D282" s="18"/>
      <c r="E282" s="18"/>
      <c r="F282" s="18"/>
      <c r="G282" s="18"/>
      <c r="H282" s="18"/>
      <c r="I282" s="18"/>
      <c r="J282" s="18"/>
      <c r="K282" s="18"/>
      <c r="L282" s="18"/>
      <c r="M282" s="18"/>
      <c r="N282" s="18"/>
      <c r="O282" s="18"/>
    </row>
    <row r="283" spans="2:15">
      <c r="B283" s="18"/>
      <c r="C283" s="18"/>
      <c r="D283" s="18"/>
      <c r="E283" s="18"/>
      <c r="F283" s="18"/>
      <c r="G283" s="18"/>
      <c r="H283" s="18"/>
      <c r="I283" s="18"/>
      <c r="J283" s="18"/>
      <c r="K283" s="18"/>
      <c r="L283" s="18"/>
      <c r="M283" s="18"/>
      <c r="N283" s="18"/>
      <c r="O283" s="18"/>
    </row>
    <row r="284" spans="2:15">
      <c r="B284" s="18"/>
      <c r="C284" s="18"/>
      <c r="D284" s="18"/>
      <c r="E284" s="18"/>
      <c r="F284" s="18"/>
      <c r="G284" s="18"/>
      <c r="H284" s="18"/>
      <c r="I284" s="18"/>
      <c r="J284" s="18"/>
      <c r="K284" s="18"/>
      <c r="L284" s="18"/>
      <c r="M284" s="18"/>
      <c r="N284" s="18"/>
      <c r="O284" s="18"/>
    </row>
    <row r="285" spans="2:15">
      <c r="B285" s="18"/>
      <c r="C285" s="18"/>
      <c r="D285" s="18"/>
      <c r="E285" s="18"/>
      <c r="F285" s="18"/>
      <c r="G285" s="18"/>
      <c r="H285" s="18"/>
      <c r="I285" s="18"/>
      <c r="J285" s="18"/>
      <c r="K285" s="18"/>
      <c r="L285" s="18"/>
      <c r="M285" s="18"/>
      <c r="N285" s="18"/>
      <c r="O285" s="18"/>
    </row>
    <row r="286" spans="2:15">
      <c r="B286" s="18"/>
      <c r="C286" s="18"/>
      <c r="D286" s="18"/>
      <c r="E286" s="18"/>
      <c r="F286" s="18"/>
      <c r="G286" s="18"/>
      <c r="H286" s="18"/>
      <c r="I286" s="18"/>
      <c r="J286" s="18"/>
      <c r="K286" s="18"/>
      <c r="L286" s="18"/>
      <c r="M286" s="18"/>
      <c r="N286" s="18"/>
      <c r="O286" s="18"/>
    </row>
    <row r="287" spans="2:15">
      <c r="B287" s="18"/>
      <c r="C287" s="18"/>
      <c r="D287" s="18"/>
      <c r="E287" s="18"/>
      <c r="F287" s="18"/>
      <c r="G287" s="18"/>
      <c r="H287" s="18"/>
      <c r="I287" s="18"/>
      <c r="J287" s="18"/>
      <c r="K287" s="18"/>
      <c r="L287" s="18"/>
      <c r="M287" s="18"/>
      <c r="N287" s="18"/>
      <c r="O287" s="18"/>
    </row>
    <row r="288" spans="2:15">
      <c r="B288" s="18"/>
      <c r="C288" s="18"/>
      <c r="D288" s="18"/>
      <c r="E288" s="18"/>
      <c r="F288" s="18"/>
      <c r="G288" s="18"/>
      <c r="H288" s="18"/>
      <c r="I288" s="18"/>
      <c r="J288" s="18"/>
      <c r="K288" s="18"/>
      <c r="L288" s="18"/>
      <c r="M288" s="18"/>
      <c r="N288" s="18"/>
      <c r="O288" s="18"/>
    </row>
    <row r="289" spans="2:15">
      <c r="B289" s="18"/>
      <c r="C289" s="18"/>
      <c r="D289" s="18"/>
      <c r="E289" s="18"/>
      <c r="F289" s="18"/>
      <c r="G289" s="18"/>
      <c r="H289" s="18"/>
      <c r="I289" s="18"/>
      <c r="J289" s="18"/>
      <c r="K289" s="18"/>
      <c r="L289" s="18"/>
      <c r="M289" s="18"/>
      <c r="N289" s="18"/>
      <c r="O289" s="18"/>
    </row>
    <row r="290" spans="2:15">
      <c r="B290" s="18"/>
      <c r="C290" s="18"/>
      <c r="D290" s="18"/>
      <c r="E290" s="18"/>
      <c r="F290" s="18"/>
      <c r="G290" s="18"/>
      <c r="H290" s="18"/>
      <c r="I290" s="18"/>
      <c r="J290" s="18"/>
      <c r="K290" s="18"/>
      <c r="L290" s="18"/>
      <c r="M290" s="18"/>
      <c r="N290" s="18"/>
      <c r="O290" s="18"/>
    </row>
    <row r="291" spans="2:15">
      <c r="B291" s="18"/>
      <c r="C291" s="18"/>
      <c r="D291" s="18"/>
      <c r="E291" s="18"/>
      <c r="F291" s="18"/>
      <c r="G291" s="18"/>
      <c r="H291" s="18"/>
      <c r="I291" s="18"/>
      <c r="J291" s="18"/>
      <c r="K291" s="18"/>
      <c r="L291" s="18"/>
      <c r="M291" s="18"/>
      <c r="N291" s="18"/>
      <c r="O291" s="18"/>
    </row>
    <row r="292" spans="2:15">
      <c r="B292" s="18"/>
      <c r="C292" s="18"/>
      <c r="D292" s="18"/>
      <c r="E292" s="18"/>
      <c r="F292" s="18"/>
      <c r="G292" s="18"/>
      <c r="H292" s="18"/>
      <c r="I292" s="18"/>
      <c r="J292" s="18"/>
      <c r="K292" s="18"/>
      <c r="L292" s="18"/>
      <c r="M292" s="18"/>
      <c r="N292" s="18"/>
      <c r="O292" s="18"/>
    </row>
    <row r="293" spans="2:15">
      <c r="B293" s="18"/>
      <c r="C293" s="18"/>
      <c r="D293" s="18"/>
      <c r="E293" s="18"/>
      <c r="F293" s="18"/>
      <c r="G293" s="18"/>
      <c r="H293" s="18"/>
      <c r="I293" s="18"/>
      <c r="J293" s="18"/>
      <c r="K293" s="18"/>
      <c r="L293" s="18"/>
      <c r="M293" s="18"/>
      <c r="N293" s="18"/>
      <c r="O293" s="18"/>
    </row>
    <row r="294" spans="2:15">
      <c r="B294" s="18"/>
      <c r="C294" s="18"/>
      <c r="D294" s="18"/>
      <c r="E294" s="18"/>
      <c r="F294" s="18"/>
      <c r="G294" s="18"/>
      <c r="H294" s="18"/>
      <c r="I294" s="18"/>
      <c r="J294" s="18"/>
      <c r="K294" s="18"/>
      <c r="L294" s="18"/>
      <c r="M294" s="18"/>
      <c r="N294" s="18"/>
      <c r="O294" s="18"/>
    </row>
    <row r="295" spans="2:15">
      <c r="B295" s="18"/>
      <c r="C295" s="18"/>
      <c r="D295" s="18"/>
      <c r="E295" s="18"/>
      <c r="F295" s="18"/>
      <c r="G295" s="18"/>
      <c r="H295" s="18"/>
      <c r="I295" s="18"/>
      <c r="J295" s="18"/>
      <c r="K295" s="18"/>
      <c r="L295" s="18"/>
      <c r="M295" s="18"/>
      <c r="N295" s="18"/>
      <c r="O295" s="18"/>
    </row>
    <row r="296" spans="2:15">
      <c r="B296" s="18"/>
      <c r="C296" s="18"/>
      <c r="D296" s="18"/>
      <c r="E296" s="18"/>
      <c r="F296" s="18"/>
      <c r="G296" s="18"/>
      <c r="H296" s="18"/>
      <c r="I296" s="18"/>
      <c r="J296" s="18"/>
      <c r="K296" s="18"/>
      <c r="L296" s="18"/>
      <c r="M296" s="18"/>
      <c r="N296" s="18"/>
      <c r="O296" s="18"/>
    </row>
    <row r="297" spans="2:15">
      <c r="B297" s="18"/>
      <c r="C297" s="18"/>
      <c r="D297" s="18"/>
      <c r="E297" s="18"/>
      <c r="F297" s="18"/>
      <c r="G297" s="18"/>
      <c r="H297" s="18"/>
      <c r="I297" s="18"/>
      <c r="J297" s="18"/>
      <c r="K297" s="18"/>
      <c r="L297" s="18"/>
      <c r="M297" s="18"/>
      <c r="N297" s="18"/>
      <c r="O297" s="18"/>
    </row>
    <row r="298" spans="2:15">
      <c r="B298" s="18"/>
      <c r="C298" s="18"/>
      <c r="D298" s="18"/>
      <c r="E298" s="18"/>
      <c r="F298" s="18"/>
      <c r="G298" s="18"/>
      <c r="H298" s="18"/>
      <c r="I298" s="18"/>
      <c r="J298" s="18"/>
      <c r="K298" s="18"/>
      <c r="L298" s="18"/>
      <c r="M298" s="18"/>
      <c r="N298" s="18"/>
      <c r="O298" s="18"/>
    </row>
    <row r="299" spans="2:15">
      <c r="B299" s="18"/>
      <c r="C299" s="18"/>
      <c r="D299" s="18"/>
      <c r="E299" s="18"/>
      <c r="F299" s="18"/>
      <c r="G299" s="18"/>
      <c r="H299" s="18"/>
      <c r="I299" s="18"/>
      <c r="J299" s="18"/>
      <c r="K299" s="18"/>
      <c r="L299" s="18"/>
      <c r="M299" s="18"/>
      <c r="N299" s="18"/>
      <c r="O299" s="18"/>
    </row>
    <row r="300" spans="2:15">
      <c r="B300" s="18"/>
      <c r="C300" s="18"/>
      <c r="D300" s="18"/>
      <c r="E300" s="18"/>
      <c r="F300" s="18"/>
      <c r="G300" s="18"/>
      <c r="H300" s="18"/>
      <c r="I300" s="18"/>
      <c r="J300" s="18"/>
      <c r="K300" s="18"/>
      <c r="L300" s="18"/>
      <c r="M300" s="18"/>
      <c r="N300" s="18"/>
      <c r="O300" s="18"/>
    </row>
    <row r="301" spans="2:15">
      <c r="B301" s="18"/>
      <c r="C301" s="18"/>
      <c r="D301" s="18"/>
      <c r="E301" s="18"/>
      <c r="F301" s="18"/>
      <c r="G301" s="18"/>
      <c r="H301" s="18"/>
      <c r="I301" s="18"/>
      <c r="J301" s="18"/>
      <c r="K301" s="18"/>
      <c r="L301" s="18"/>
      <c r="M301" s="18"/>
      <c r="N301" s="18"/>
      <c r="O301" s="18"/>
    </row>
    <row r="302" spans="2:15">
      <c r="B302" s="18"/>
      <c r="C302" s="18"/>
      <c r="D302" s="18"/>
      <c r="E302" s="18"/>
      <c r="F302" s="18"/>
      <c r="G302" s="18"/>
      <c r="H302" s="18"/>
      <c r="I302" s="18"/>
      <c r="J302" s="18"/>
      <c r="K302" s="18"/>
      <c r="L302" s="18"/>
      <c r="M302" s="18"/>
      <c r="N302" s="18"/>
      <c r="O302" s="18"/>
    </row>
    <row r="303" spans="2:15">
      <c r="B303" s="18"/>
      <c r="C303" s="18"/>
      <c r="D303" s="18"/>
      <c r="E303" s="18"/>
      <c r="F303" s="18"/>
      <c r="G303" s="18"/>
      <c r="H303" s="18"/>
      <c r="I303" s="18"/>
      <c r="J303" s="18"/>
      <c r="K303" s="18"/>
      <c r="L303" s="18"/>
      <c r="M303" s="18"/>
      <c r="N303" s="18"/>
      <c r="O303" s="18"/>
    </row>
    <row r="304" spans="2:15">
      <c r="B304" s="18"/>
      <c r="C304" s="18"/>
      <c r="D304" s="18"/>
      <c r="E304" s="18"/>
      <c r="F304" s="18"/>
      <c r="G304" s="18"/>
      <c r="H304" s="18"/>
      <c r="I304" s="18"/>
      <c r="J304" s="18"/>
      <c r="K304" s="18"/>
      <c r="L304" s="18"/>
      <c r="M304" s="18"/>
      <c r="N304" s="18"/>
      <c r="O304" s="18"/>
    </row>
    <row r="305" spans="2:15">
      <c r="B305" s="18"/>
      <c r="C305" s="18"/>
      <c r="D305" s="18"/>
      <c r="E305" s="18"/>
      <c r="F305" s="18"/>
      <c r="G305" s="18"/>
      <c r="H305" s="18"/>
      <c r="I305" s="18"/>
      <c r="J305" s="18"/>
      <c r="K305" s="18"/>
      <c r="L305" s="18"/>
      <c r="M305" s="18"/>
      <c r="N305" s="18"/>
      <c r="O305" s="18"/>
    </row>
    <row r="306" spans="2:15">
      <c r="B306" s="18"/>
      <c r="C306" s="18"/>
      <c r="D306" s="18"/>
      <c r="E306" s="18"/>
      <c r="F306" s="18"/>
      <c r="G306" s="18"/>
      <c r="H306" s="18"/>
      <c r="I306" s="18"/>
      <c r="J306" s="18"/>
      <c r="K306" s="18"/>
      <c r="L306" s="18"/>
      <c r="M306" s="18"/>
      <c r="N306" s="18"/>
      <c r="O306" s="18"/>
    </row>
    <row r="307" spans="2:15">
      <c r="B307" s="18"/>
      <c r="C307" s="18"/>
      <c r="D307" s="18"/>
      <c r="E307" s="18"/>
      <c r="F307" s="18"/>
      <c r="G307" s="18"/>
      <c r="H307" s="18"/>
      <c r="I307" s="18"/>
      <c r="J307" s="18"/>
      <c r="K307" s="18"/>
      <c r="L307" s="18"/>
      <c r="M307" s="18"/>
      <c r="N307" s="18"/>
      <c r="O307" s="18"/>
    </row>
    <row r="308" spans="2:15">
      <c r="B308" s="18"/>
      <c r="C308" s="18"/>
      <c r="D308" s="18"/>
      <c r="E308" s="18"/>
      <c r="F308" s="18"/>
      <c r="G308" s="18"/>
      <c r="H308" s="18"/>
      <c r="I308" s="18"/>
      <c r="J308" s="18"/>
      <c r="K308" s="18"/>
      <c r="L308" s="18"/>
      <c r="M308" s="18"/>
      <c r="N308" s="18"/>
      <c r="O308" s="18"/>
    </row>
    <row r="309" spans="2:15">
      <c r="B309" s="18"/>
      <c r="C309" s="18"/>
      <c r="D309" s="18"/>
      <c r="E309" s="18"/>
      <c r="F309" s="18"/>
      <c r="G309" s="18"/>
      <c r="H309" s="18"/>
      <c r="I309" s="18"/>
      <c r="J309" s="18"/>
      <c r="K309" s="18"/>
      <c r="L309" s="18"/>
      <c r="M309" s="18"/>
      <c r="N309" s="18"/>
      <c r="O309" s="18"/>
    </row>
    <row r="310" spans="2:15">
      <c r="B310" s="18"/>
      <c r="C310" s="18"/>
      <c r="D310" s="18"/>
      <c r="E310" s="18"/>
      <c r="F310" s="18"/>
      <c r="G310" s="18"/>
      <c r="H310" s="18"/>
      <c r="I310" s="18"/>
      <c r="J310" s="18"/>
      <c r="K310" s="18"/>
      <c r="L310" s="18"/>
      <c r="M310" s="18"/>
      <c r="N310" s="18"/>
      <c r="O310" s="18"/>
    </row>
    <row r="311" spans="2:15">
      <c r="B311" s="18"/>
      <c r="C311" s="18"/>
      <c r="D311" s="18"/>
      <c r="E311" s="18"/>
      <c r="F311" s="18"/>
      <c r="G311" s="18"/>
      <c r="H311" s="18"/>
      <c r="I311" s="18"/>
      <c r="J311" s="18"/>
      <c r="K311" s="18"/>
      <c r="L311" s="18"/>
      <c r="M311" s="18"/>
      <c r="N311" s="18"/>
      <c r="O311" s="18"/>
    </row>
    <row r="312" spans="2:15">
      <c r="B312" s="18"/>
      <c r="C312" s="18"/>
      <c r="D312" s="18"/>
      <c r="E312" s="18"/>
      <c r="F312" s="18"/>
      <c r="G312" s="18"/>
      <c r="H312" s="18"/>
      <c r="I312" s="18"/>
      <c r="J312" s="18"/>
      <c r="K312" s="18"/>
      <c r="L312" s="18"/>
      <c r="M312" s="18"/>
      <c r="N312" s="18"/>
      <c r="O312" s="18"/>
    </row>
    <row r="313" spans="2:15">
      <c r="B313" s="18"/>
      <c r="C313" s="18"/>
      <c r="D313" s="18"/>
      <c r="E313" s="18"/>
      <c r="F313" s="18"/>
      <c r="G313" s="18"/>
      <c r="H313" s="18"/>
      <c r="I313" s="18"/>
      <c r="J313" s="18"/>
      <c r="K313" s="18"/>
      <c r="L313" s="18"/>
      <c r="M313" s="18"/>
      <c r="N313" s="18"/>
      <c r="O313" s="18"/>
    </row>
    <row r="314" spans="2:15">
      <c r="B314" s="18"/>
      <c r="C314" s="18"/>
      <c r="D314" s="18"/>
      <c r="E314" s="18"/>
      <c r="F314" s="18"/>
      <c r="G314" s="18"/>
      <c r="H314" s="18"/>
      <c r="I314" s="18"/>
      <c r="J314" s="18"/>
      <c r="K314" s="18"/>
      <c r="L314" s="18"/>
      <c r="M314" s="18"/>
      <c r="N314" s="18"/>
      <c r="O314" s="18"/>
    </row>
    <row r="315" spans="2:15">
      <c r="B315" s="18"/>
      <c r="C315" s="18"/>
      <c r="D315" s="18"/>
      <c r="E315" s="18"/>
      <c r="F315" s="18"/>
      <c r="G315" s="18"/>
      <c r="H315" s="18"/>
      <c r="I315" s="18"/>
      <c r="J315" s="18"/>
      <c r="K315" s="18"/>
      <c r="L315" s="18"/>
      <c r="M315" s="18"/>
      <c r="N315" s="18"/>
      <c r="O315" s="18"/>
    </row>
    <row r="316" spans="2:15">
      <c r="B316" s="18"/>
      <c r="C316" s="18"/>
      <c r="D316" s="18"/>
      <c r="E316" s="18"/>
      <c r="F316" s="18"/>
      <c r="G316" s="18"/>
      <c r="H316" s="18"/>
      <c r="I316" s="18"/>
      <c r="J316" s="18"/>
      <c r="K316" s="18"/>
      <c r="L316" s="18"/>
      <c r="M316" s="18"/>
      <c r="N316" s="18"/>
      <c r="O316" s="18"/>
    </row>
    <row r="317" spans="2:15">
      <c r="B317" s="18"/>
      <c r="C317" s="18"/>
      <c r="D317" s="18"/>
      <c r="E317" s="18"/>
      <c r="F317" s="18"/>
      <c r="G317" s="18"/>
      <c r="H317" s="18"/>
      <c r="I317" s="18"/>
      <c r="J317" s="18"/>
      <c r="K317" s="18"/>
      <c r="L317" s="18"/>
      <c r="M317" s="18"/>
      <c r="N317" s="18"/>
      <c r="O317" s="18"/>
    </row>
    <row r="318" spans="2:15">
      <c r="B318" s="18"/>
      <c r="C318" s="18"/>
      <c r="D318" s="18"/>
      <c r="E318" s="18"/>
      <c r="F318" s="18"/>
      <c r="G318" s="18"/>
      <c r="H318" s="18"/>
      <c r="I318" s="18"/>
      <c r="J318" s="18"/>
      <c r="K318" s="18"/>
      <c r="L318" s="18"/>
      <c r="M318" s="18"/>
      <c r="N318" s="18"/>
      <c r="O318" s="18"/>
    </row>
    <row r="319" spans="2:15">
      <c r="B319" s="18"/>
      <c r="C319" s="18"/>
      <c r="D319" s="18"/>
      <c r="E319" s="18"/>
      <c r="F319" s="18"/>
      <c r="G319" s="18"/>
      <c r="H319" s="18"/>
      <c r="I319" s="18"/>
      <c r="J319" s="18"/>
      <c r="K319" s="18"/>
      <c r="L319" s="18"/>
      <c r="M319" s="18"/>
      <c r="N319" s="18"/>
      <c r="O319" s="18"/>
    </row>
    <row r="320" spans="2:15">
      <c r="B320" s="18"/>
      <c r="C320" s="18"/>
      <c r="D320" s="18"/>
      <c r="E320" s="18"/>
      <c r="F320" s="18"/>
      <c r="G320" s="18"/>
      <c r="H320" s="18"/>
      <c r="I320" s="18"/>
      <c r="J320" s="18"/>
      <c r="K320" s="18"/>
      <c r="L320" s="18"/>
      <c r="M320" s="18"/>
      <c r="N320" s="18"/>
      <c r="O320" s="18"/>
    </row>
    <row r="321" spans="2:15">
      <c r="B321" s="18"/>
      <c r="C321" s="18"/>
      <c r="D321" s="18"/>
      <c r="E321" s="18"/>
      <c r="F321" s="18"/>
      <c r="G321" s="18"/>
      <c r="H321" s="18"/>
      <c r="I321" s="18"/>
      <c r="J321" s="18"/>
      <c r="K321" s="18"/>
      <c r="L321" s="18"/>
      <c r="M321" s="18"/>
      <c r="N321" s="18"/>
      <c r="O321" s="18"/>
    </row>
    <row r="322" spans="2:15">
      <c r="B322" s="18"/>
      <c r="C322" s="18"/>
      <c r="D322" s="18"/>
      <c r="E322" s="18"/>
      <c r="F322" s="18"/>
      <c r="G322" s="18"/>
      <c r="H322" s="18"/>
      <c r="I322" s="18"/>
      <c r="J322" s="18"/>
      <c r="K322" s="18"/>
      <c r="L322" s="18"/>
      <c r="M322" s="18"/>
      <c r="N322" s="18"/>
      <c r="O322" s="18"/>
    </row>
    <row r="323" spans="2:15">
      <c r="B323" s="18"/>
      <c r="C323" s="18"/>
      <c r="D323" s="18"/>
      <c r="E323" s="18"/>
      <c r="F323" s="18"/>
      <c r="G323" s="18"/>
      <c r="H323" s="18"/>
      <c r="I323" s="18"/>
      <c r="J323" s="18"/>
      <c r="K323" s="18"/>
      <c r="L323" s="18"/>
      <c r="M323" s="18"/>
      <c r="N323" s="18"/>
      <c r="O323" s="18"/>
    </row>
    <row r="324" spans="2:15">
      <c r="B324" s="18"/>
      <c r="C324" s="18"/>
      <c r="D324" s="18"/>
      <c r="E324" s="18"/>
      <c r="F324" s="18"/>
      <c r="G324" s="18"/>
      <c r="H324" s="18"/>
      <c r="I324" s="18"/>
      <c r="J324" s="18"/>
      <c r="K324" s="18"/>
      <c r="L324" s="18"/>
      <c r="M324" s="18"/>
      <c r="N324" s="18"/>
      <c r="O324" s="18"/>
    </row>
    <row r="325" spans="2:15">
      <c r="B325" s="18"/>
      <c r="C325" s="18"/>
      <c r="D325" s="18"/>
      <c r="E325" s="18"/>
      <c r="F325" s="18"/>
      <c r="G325" s="18"/>
      <c r="H325" s="18"/>
      <c r="I325" s="18"/>
      <c r="J325" s="18"/>
      <c r="K325" s="18"/>
      <c r="L325" s="18"/>
      <c r="M325" s="18"/>
      <c r="N325" s="18"/>
      <c r="O325" s="18"/>
    </row>
    <row r="326" spans="2:15">
      <c r="B326" s="18"/>
      <c r="C326" s="18"/>
      <c r="D326" s="18"/>
      <c r="E326" s="18"/>
      <c r="F326" s="18"/>
      <c r="G326" s="18"/>
      <c r="H326" s="18"/>
      <c r="I326" s="18"/>
      <c r="J326" s="18"/>
      <c r="K326" s="18"/>
      <c r="L326" s="18"/>
      <c r="M326" s="18"/>
      <c r="N326" s="18"/>
      <c r="O326" s="18"/>
    </row>
    <row r="327" spans="2:15">
      <c r="B327" s="18"/>
      <c r="C327" s="18"/>
      <c r="D327" s="18"/>
      <c r="E327" s="18"/>
      <c r="F327" s="18"/>
      <c r="G327" s="18"/>
      <c r="H327" s="18"/>
      <c r="I327" s="18"/>
      <c r="J327" s="18"/>
      <c r="K327" s="18"/>
      <c r="L327" s="18"/>
      <c r="M327" s="18"/>
      <c r="N327" s="18"/>
      <c r="O327" s="18"/>
    </row>
    <row r="328" spans="2:15">
      <c r="B328" s="18"/>
      <c r="C328" s="18"/>
      <c r="D328" s="18"/>
      <c r="E328" s="18"/>
      <c r="F328" s="18"/>
      <c r="G328" s="18"/>
      <c r="H328" s="18"/>
      <c r="I328" s="18"/>
      <c r="J328" s="18"/>
      <c r="K328" s="18"/>
      <c r="L328" s="18"/>
      <c r="M328" s="18"/>
      <c r="N328" s="18"/>
      <c r="O328" s="18"/>
    </row>
    <row r="329" spans="2:15">
      <c r="B329" s="18"/>
      <c r="C329" s="18"/>
      <c r="D329" s="18"/>
      <c r="E329" s="18"/>
      <c r="F329" s="18"/>
      <c r="G329" s="18"/>
      <c r="H329" s="18"/>
      <c r="I329" s="18"/>
      <c r="J329" s="18"/>
      <c r="K329" s="18"/>
      <c r="L329" s="18"/>
      <c r="M329" s="18"/>
      <c r="N329" s="18"/>
      <c r="O329" s="18"/>
    </row>
    <row r="330" spans="2:15">
      <c r="B330" s="18"/>
      <c r="C330" s="18"/>
      <c r="D330" s="18"/>
      <c r="E330" s="18"/>
      <c r="F330" s="18"/>
      <c r="G330" s="18"/>
      <c r="H330" s="18"/>
      <c r="I330" s="18"/>
      <c r="J330" s="18"/>
      <c r="K330" s="18"/>
      <c r="L330" s="18"/>
      <c r="M330" s="18"/>
      <c r="N330" s="18"/>
      <c r="O330" s="18"/>
    </row>
    <row r="331" spans="2:15">
      <c r="B331" s="18"/>
      <c r="C331" s="18"/>
      <c r="D331" s="18"/>
      <c r="E331" s="18"/>
      <c r="F331" s="18"/>
      <c r="G331" s="18"/>
      <c r="H331" s="18"/>
      <c r="I331" s="18"/>
      <c r="J331" s="18"/>
      <c r="K331" s="18"/>
      <c r="L331" s="18"/>
      <c r="M331" s="18"/>
      <c r="N331" s="18"/>
      <c r="O331" s="18"/>
    </row>
    <row r="332" spans="2:15">
      <c r="B332" s="18"/>
      <c r="C332" s="18"/>
      <c r="D332" s="18"/>
      <c r="E332" s="18"/>
      <c r="F332" s="18"/>
      <c r="G332" s="18"/>
      <c r="H332" s="18"/>
      <c r="I332" s="18"/>
      <c r="J332" s="18"/>
      <c r="K332" s="18"/>
      <c r="L332" s="18"/>
      <c r="M332" s="18"/>
      <c r="N332" s="18"/>
      <c r="O332" s="18"/>
    </row>
    <row r="333" spans="2:15">
      <c r="B333" s="18"/>
      <c r="C333" s="18"/>
      <c r="D333" s="18"/>
      <c r="E333" s="18"/>
      <c r="F333" s="18"/>
      <c r="G333" s="18"/>
      <c r="H333" s="18"/>
      <c r="I333" s="18"/>
      <c r="J333" s="18"/>
      <c r="K333" s="18"/>
      <c r="L333" s="18"/>
      <c r="M333" s="18"/>
      <c r="N333" s="18"/>
      <c r="O333" s="18"/>
    </row>
    <row r="334" spans="2:15">
      <c r="B334" s="18"/>
      <c r="C334" s="18"/>
      <c r="D334" s="18"/>
      <c r="E334" s="18"/>
      <c r="F334" s="18"/>
      <c r="G334" s="18"/>
      <c r="H334" s="18"/>
      <c r="I334" s="18"/>
      <c r="J334" s="18"/>
      <c r="K334" s="18"/>
      <c r="L334" s="18"/>
      <c r="M334" s="18"/>
      <c r="N334" s="18"/>
      <c r="O334" s="18"/>
    </row>
    <row r="335" spans="2:15">
      <c r="B335" s="18"/>
      <c r="C335" s="18"/>
      <c r="D335" s="18"/>
      <c r="E335" s="18"/>
      <c r="F335" s="18"/>
      <c r="G335" s="18"/>
      <c r="H335" s="18"/>
      <c r="I335" s="18"/>
      <c r="J335" s="18"/>
      <c r="K335" s="18"/>
      <c r="L335" s="18"/>
      <c r="M335" s="18"/>
      <c r="N335" s="18"/>
      <c r="O335" s="18"/>
    </row>
    <row r="336" spans="2:15">
      <c r="B336" s="18"/>
      <c r="C336" s="18"/>
      <c r="D336" s="18"/>
      <c r="E336" s="18"/>
      <c r="F336" s="18"/>
      <c r="G336" s="18"/>
      <c r="H336" s="18"/>
      <c r="I336" s="18"/>
      <c r="J336" s="18"/>
      <c r="K336" s="18"/>
      <c r="L336" s="18"/>
      <c r="M336" s="18"/>
      <c r="N336" s="18"/>
      <c r="O336" s="18"/>
    </row>
    <row r="337" spans="2:15">
      <c r="B337" s="18"/>
      <c r="C337" s="18"/>
      <c r="D337" s="18"/>
      <c r="E337" s="18"/>
      <c r="F337" s="18"/>
      <c r="G337" s="18"/>
      <c r="H337" s="18"/>
      <c r="I337" s="18"/>
      <c r="J337" s="18"/>
      <c r="K337" s="18"/>
      <c r="L337" s="18"/>
      <c r="M337" s="18"/>
      <c r="N337" s="18"/>
      <c r="O337" s="18"/>
    </row>
    <row r="338" spans="2:15">
      <c r="B338" s="18"/>
      <c r="C338" s="18"/>
      <c r="D338" s="18"/>
      <c r="E338" s="18"/>
      <c r="F338" s="18"/>
      <c r="G338" s="18"/>
      <c r="H338" s="18"/>
      <c r="I338" s="18"/>
      <c r="J338" s="18"/>
      <c r="K338" s="18"/>
      <c r="L338" s="18"/>
      <c r="M338" s="18"/>
      <c r="N338" s="18"/>
      <c r="O338" s="18"/>
    </row>
    <row r="339" spans="2:15">
      <c r="B339" s="18"/>
      <c r="C339" s="18"/>
      <c r="D339" s="18"/>
      <c r="E339" s="18"/>
      <c r="F339" s="18"/>
      <c r="G339" s="18"/>
      <c r="H339" s="18"/>
      <c r="I339" s="18"/>
      <c r="J339" s="18"/>
      <c r="K339" s="18"/>
      <c r="L339" s="18"/>
      <c r="M339" s="18"/>
      <c r="N339" s="18"/>
      <c r="O339" s="18"/>
    </row>
    <row r="340" spans="2:15">
      <c r="B340" s="18"/>
      <c r="C340" s="18"/>
      <c r="D340" s="18"/>
      <c r="E340" s="18"/>
      <c r="F340" s="18"/>
      <c r="G340" s="18"/>
      <c r="H340" s="18"/>
      <c r="I340" s="18"/>
      <c r="J340" s="18"/>
      <c r="K340" s="18"/>
      <c r="L340" s="18"/>
      <c r="M340" s="18"/>
      <c r="N340" s="18"/>
      <c r="O340" s="18"/>
    </row>
    <row r="341" spans="2:15">
      <c r="B341" s="18"/>
      <c r="C341" s="18"/>
      <c r="D341" s="18"/>
      <c r="E341" s="18"/>
      <c r="F341" s="18"/>
      <c r="G341" s="18"/>
      <c r="H341" s="18"/>
      <c r="I341" s="18"/>
      <c r="J341" s="18"/>
      <c r="K341" s="18"/>
      <c r="L341" s="18"/>
      <c r="M341" s="18"/>
      <c r="N341" s="18"/>
      <c r="O341" s="18"/>
    </row>
    <row r="342" spans="2:15">
      <c r="B342" s="18"/>
      <c r="C342" s="18"/>
      <c r="D342" s="18"/>
      <c r="E342" s="18"/>
      <c r="F342" s="18"/>
      <c r="G342" s="18"/>
      <c r="H342" s="18"/>
      <c r="I342" s="18"/>
      <c r="J342" s="18"/>
      <c r="K342" s="18"/>
      <c r="L342" s="18"/>
      <c r="M342" s="18"/>
      <c r="N342" s="18"/>
      <c r="O342" s="18"/>
    </row>
    <row r="343" spans="2:15">
      <c r="B343" s="18"/>
      <c r="C343" s="18"/>
      <c r="D343" s="18"/>
      <c r="E343" s="18"/>
      <c r="F343" s="18"/>
      <c r="G343" s="18"/>
      <c r="H343" s="18"/>
      <c r="I343" s="18"/>
      <c r="J343" s="18"/>
      <c r="K343" s="18"/>
      <c r="L343" s="18"/>
      <c r="M343" s="18"/>
      <c r="N343" s="18"/>
      <c r="O343" s="18"/>
    </row>
    <row r="344" spans="2:15">
      <c r="B344" s="18"/>
      <c r="C344" s="18"/>
      <c r="D344" s="18"/>
      <c r="E344" s="18"/>
      <c r="F344" s="18"/>
      <c r="G344" s="18"/>
      <c r="H344" s="18"/>
      <c r="I344" s="18"/>
      <c r="J344" s="18"/>
      <c r="K344" s="18"/>
      <c r="L344" s="18"/>
      <c r="M344" s="18"/>
      <c r="N344" s="18"/>
      <c r="O344" s="18"/>
    </row>
    <row r="345" spans="2:15">
      <c r="B345" s="18"/>
      <c r="C345" s="18"/>
      <c r="D345" s="18"/>
      <c r="E345" s="18"/>
      <c r="F345" s="18"/>
      <c r="G345" s="18"/>
      <c r="H345" s="18"/>
      <c r="I345" s="18"/>
      <c r="J345" s="18"/>
      <c r="K345" s="18"/>
      <c r="L345" s="18"/>
      <c r="M345" s="18"/>
      <c r="N345" s="18"/>
      <c r="O345" s="18"/>
    </row>
    <row r="346" spans="2:15">
      <c r="B346" s="18"/>
      <c r="C346" s="18"/>
      <c r="D346" s="18"/>
      <c r="E346" s="18"/>
      <c r="F346" s="18"/>
      <c r="G346" s="18"/>
      <c r="H346" s="18"/>
      <c r="I346" s="18"/>
      <c r="J346" s="18"/>
      <c r="K346" s="18"/>
      <c r="L346" s="18"/>
      <c r="M346" s="18"/>
      <c r="N346" s="18"/>
      <c r="O346" s="18"/>
    </row>
    <row r="347" spans="2:15">
      <c r="B347" s="18"/>
      <c r="C347" s="18"/>
      <c r="D347" s="18"/>
      <c r="E347" s="18"/>
      <c r="F347" s="18"/>
      <c r="G347" s="18"/>
      <c r="H347" s="18"/>
      <c r="I347" s="18"/>
      <c r="J347" s="18"/>
      <c r="K347" s="18"/>
      <c r="L347" s="18"/>
      <c r="M347" s="18"/>
      <c r="N347" s="18"/>
      <c r="O347" s="18"/>
    </row>
    <row r="348" spans="2:15">
      <c r="B348" s="18"/>
      <c r="C348" s="18"/>
      <c r="D348" s="18"/>
      <c r="E348" s="18"/>
      <c r="F348" s="18"/>
      <c r="G348" s="18"/>
      <c r="H348" s="18"/>
      <c r="I348" s="18"/>
      <c r="J348" s="18"/>
      <c r="K348" s="18"/>
      <c r="L348" s="18"/>
      <c r="M348" s="18"/>
      <c r="N348" s="18"/>
      <c r="O348" s="18"/>
    </row>
    <row r="349" spans="2:15">
      <c r="B349" s="18"/>
      <c r="C349" s="18"/>
      <c r="D349" s="18"/>
      <c r="E349" s="18"/>
      <c r="F349" s="18"/>
      <c r="G349" s="18"/>
      <c r="H349" s="18"/>
      <c r="I349" s="18"/>
      <c r="J349" s="18"/>
      <c r="K349" s="18"/>
      <c r="L349" s="18"/>
      <c r="M349" s="18"/>
      <c r="N349" s="18"/>
      <c r="O349" s="18"/>
    </row>
    <row r="350" spans="2:15">
      <c r="B350" s="18"/>
      <c r="C350" s="18"/>
      <c r="D350" s="18"/>
      <c r="E350" s="18"/>
      <c r="F350" s="18"/>
      <c r="G350" s="18"/>
      <c r="H350" s="18"/>
      <c r="I350" s="18"/>
      <c r="J350" s="18"/>
      <c r="K350" s="18"/>
      <c r="L350" s="18"/>
      <c r="M350" s="18"/>
      <c r="N350" s="18"/>
      <c r="O350" s="18"/>
    </row>
    <row r="351" spans="2:15">
      <c r="B351" s="18"/>
      <c r="C351" s="18"/>
      <c r="D351" s="18"/>
      <c r="E351" s="18"/>
      <c r="F351" s="18"/>
      <c r="G351" s="18"/>
      <c r="H351" s="18"/>
      <c r="I351" s="18"/>
      <c r="J351" s="18"/>
      <c r="K351" s="18"/>
      <c r="L351" s="18"/>
      <c r="M351" s="18"/>
      <c r="N351" s="18"/>
      <c r="O351" s="18"/>
    </row>
    <row r="352" spans="2:15">
      <c r="B352" s="18"/>
      <c r="C352" s="18"/>
      <c r="D352" s="18"/>
      <c r="E352" s="18"/>
      <c r="F352" s="18"/>
      <c r="G352" s="18"/>
      <c r="H352" s="18"/>
      <c r="I352" s="18"/>
      <c r="J352" s="18"/>
      <c r="K352" s="18"/>
      <c r="L352" s="18"/>
      <c r="M352" s="18"/>
      <c r="N352" s="18"/>
      <c r="O352" s="18"/>
    </row>
    <row r="353" spans="2:15">
      <c r="B353" s="18"/>
      <c r="C353" s="18"/>
      <c r="D353" s="18"/>
      <c r="E353" s="18"/>
      <c r="F353" s="18"/>
      <c r="G353" s="18"/>
      <c r="H353" s="18"/>
      <c r="I353" s="18"/>
      <c r="J353" s="18"/>
      <c r="K353" s="18"/>
      <c r="L353" s="18"/>
      <c r="M353" s="18"/>
      <c r="N353" s="18"/>
      <c r="O353" s="18"/>
    </row>
    <row r="354" spans="2:15">
      <c r="B354" s="18"/>
      <c r="C354" s="18"/>
      <c r="D354" s="18"/>
      <c r="E354" s="18"/>
      <c r="F354" s="18"/>
      <c r="G354" s="18"/>
      <c r="H354" s="18"/>
      <c r="I354" s="18"/>
      <c r="J354" s="18"/>
      <c r="K354" s="18"/>
      <c r="L354" s="18"/>
      <c r="M354" s="18"/>
      <c r="N354" s="18"/>
      <c r="O354" s="18"/>
    </row>
    <row r="355" spans="2:15">
      <c r="B355" s="18"/>
      <c r="C355" s="18"/>
      <c r="D355" s="18"/>
      <c r="E355" s="18"/>
      <c r="F355" s="18"/>
      <c r="G355" s="18"/>
      <c r="H355" s="18"/>
      <c r="I355" s="18"/>
      <c r="J355" s="18"/>
      <c r="K355" s="18"/>
      <c r="L355" s="18"/>
      <c r="M355" s="18"/>
      <c r="N355" s="18"/>
      <c r="O355" s="18"/>
    </row>
    <row r="356" spans="2:15">
      <c r="B356" s="18"/>
      <c r="C356" s="18"/>
      <c r="D356" s="18"/>
      <c r="E356" s="18"/>
      <c r="F356" s="18"/>
      <c r="G356" s="18"/>
      <c r="H356" s="18"/>
      <c r="I356" s="18"/>
      <c r="J356" s="18"/>
      <c r="K356" s="18"/>
      <c r="L356" s="18"/>
      <c r="M356" s="18"/>
      <c r="N356" s="18"/>
      <c r="O356" s="18"/>
    </row>
    <row r="357" spans="2:15">
      <c r="B357" s="18"/>
      <c r="C357" s="18"/>
      <c r="D357" s="18"/>
      <c r="E357" s="18"/>
      <c r="F357" s="18"/>
      <c r="G357" s="18"/>
      <c r="H357" s="18"/>
      <c r="I357" s="18"/>
      <c r="J357" s="18"/>
      <c r="K357" s="18"/>
      <c r="L357" s="18"/>
      <c r="M357" s="18"/>
      <c r="N357" s="18"/>
      <c r="O357" s="18"/>
    </row>
    <row r="358" spans="2:15">
      <c r="B358" s="18"/>
      <c r="C358" s="18"/>
      <c r="D358" s="18"/>
      <c r="E358" s="18"/>
      <c r="F358" s="18"/>
      <c r="G358" s="18"/>
      <c r="H358" s="18"/>
      <c r="I358" s="18"/>
      <c r="J358" s="18"/>
      <c r="K358" s="18"/>
      <c r="L358" s="18"/>
      <c r="M358" s="18"/>
      <c r="N358" s="18"/>
      <c r="O358" s="18"/>
    </row>
    <row r="359" spans="2:15">
      <c r="B359" s="18"/>
      <c r="C359" s="18"/>
      <c r="D359" s="18"/>
      <c r="E359" s="18"/>
      <c r="F359" s="18"/>
      <c r="G359" s="18"/>
      <c r="H359" s="18"/>
      <c r="I359" s="18"/>
      <c r="J359" s="18"/>
      <c r="K359" s="18"/>
      <c r="L359" s="18"/>
      <c r="M359" s="18"/>
      <c r="N359" s="18"/>
      <c r="O359" s="18"/>
    </row>
    <row r="360" spans="2:15">
      <c r="B360" s="18"/>
      <c r="C360" s="18"/>
      <c r="D360" s="18"/>
      <c r="E360" s="18"/>
      <c r="F360" s="18"/>
      <c r="G360" s="18"/>
      <c r="H360" s="18"/>
      <c r="I360" s="18"/>
      <c r="J360" s="18"/>
      <c r="K360" s="18"/>
      <c r="L360" s="18"/>
      <c r="M360" s="18"/>
      <c r="N360" s="18"/>
      <c r="O360" s="18"/>
    </row>
    <row r="361" spans="2:15">
      <c r="B361" s="18"/>
      <c r="C361" s="18"/>
      <c r="D361" s="18"/>
      <c r="E361" s="18"/>
      <c r="F361" s="18"/>
      <c r="G361" s="18"/>
      <c r="H361" s="18"/>
      <c r="I361" s="18"/>
      <c r="J361" s="18"/>
      <c r="K361" s="18"/>
      <c r="L361" s="18"/>
      <c r="M361" s="18"/>
      <c r="N361" s="18"/>
      <c r="O361" s="18"/>
    </row>
    <row r="362" spans="2:15">
      <c r="B362" s="18"/>
      <c r="C362" s="18"/>
      <c r="D362" s="18"/>
      <c r="E362" s="18"/>
      <c r="F362" s="18"/>
      <c r="G362" s="18"/>
      <c r="H362" s="18"/>
      <c r="I362" s="18"/>
      <c r="J362" s="18"/>
      <c r="K362" s="18"/>
      <c r="L362" s="18"/>
      <c r="M362" s="18"/>
      <c r="N362" s="18"/>
      <c r="O362" s="18"/>
    </row>
    <row r="363" spans="2:15">
      <c r="B363" s="18"/>
      <c r="C363" s="18"/>
      <c r="D363" s="18"/>
      <c r="E363" s="18"/>
      <c r="F363" s="18"/>
      <c r="G363" s="18"/>
      <c r="H363" s="18"/>
      <c r="I363" s="18"/>
      <c r="J363" s="18"/>
      <c r="K363" s="18"/>
      <c r="L363" s="18"/>
      <c r="M363" s="18"/>
      <c r="N363" s="18"/>
      <c r="O363" s="18"/>
    </row>
    <row r="364" spans="2:15">
      <c r="B364" s="18"/>
      <c r="C364" s="18"/>
      <c r="D364" s="18"/>
      <c r="E364" s="18"/>
      <c r="F364" s="18"/>
      <c r="G364" s="18"/>
      <c r="H364" s="18"/>
      <c r="I364" s="18"/>
      <c r="J364" s="18"/>
      <c r="K364" s="18"/>
      <c r="L364" s="18"/>
      <c r="M364" s="18"/>
      <c r="N364" s="18"/>
      <c r="O364" s="18"/>
    </row>
    <row r="365" spans="2:15">
      <c r="B365" s="18"/>
      <c r="C365" s="18"/>
      <c r="D365" s="18"/>
      <c r="E365" s="18"/>
      <c r="F365" s="18"/>
      <c r="G365" s="18"/>
      <c r="H365" s="18"/>
      <c r="I365" s="18"/>
      <c r="J365" s="18"/>
      <c r="K365" s="18"/>
      <c r="L365" s="18"/>
      <c r="M365" s="18"/>
      <c r="N365" s="18"/>
      <c r="O365" s="18"/>
    </row>
    <row r="366" spans="2:15">
      <c r="B366" s="18"/>
      <c r="C366" s="18"/>
      <c r="D366" s="18"/>
      <c r="E366" s="18"/>
      <c r="F366" s="18"/>
      <c r="G366" s="18"/>
      <c r="H366" s="18"/>
      <c r="I366" s="18"/>
      <c r="J366" s="18"/>
      <c r="K366" s="18"/>
      <c r="L366" s="18"/>
      <c r="M366" s="18"/>
      <c r="N366" s="18"/>
      <c r="O366" s="18"/>
    </row>
    <row r="367" spans="2:15">
      <c r="B367" s="18"/>
      <c r="C367" s="18"/>
      <c r="D367" s="18"/>
      <c r="E367" s="18"/>
      <c r="F367" s="18"/>
      <c r="G367" s="18"/>
      <c r="H367" s="18"/>
      <c r="I367" s="18"/>
      <c r="J367" s="18"/>
      <c r="K367" s="18"/>
      <c r="L367" s="18"/>
      <c r="M367" s="18"/>
      <c r="N367" s="18"/>
      <c r="O367" s="18"/>
    </row>
    <row r="368" spans="2:15">
      <c r="B368" s="18"/>
      <c r="C368" s="18"/>
      <c r="D368" s="18"/>
      <c r="E368" s="18"/>
      <c r="F368" s="18"/>
      <c r="G368" s="18"/>
      <c r="H368" s="18"/>
      <c r="I368" s="18"/>
      <c r="J368" s="18"/>
      <c r="K368" s="18"/>
      <c r="L368" s="18"/>
      <c r="M368" s="18"/>
      <c r="N368" s="18"/>
      <c r="O368" s="18"/>
    </row>
    <row r="369" spans="2:15">
      <c r="B369" s="18"/>
      <c r="C369" s="18"/>
      <c r="D369" s="18"/>
      <c r="E369" s="18"/>
      <c r="F369" s="18"/>
      <c r="G369" s="18"/>
      <c r="H369" s="18"/>
      <c r="I369" s="18"/>
      <c r="J369" s="18"/>
      <c r="K369" s="18"/>
      <c r="L369" s="18"/>
      <c r="M369" s="18"/>
      <c r="N369" s="18"/>
      <c r="O369" s="18"/>
    </row>
    <row r="370" spans="2:15">
      <c r="B370" s="18"/>
      <c r="C370" s="18"/>
      <c r="D370" s="18"/>
      <c r="E370" s="18"/>
      <c r="F370" s="18"/>
      <c r="G370" s="18"/>
      <c r="H370" s="18"/>
      <c r="I370" s="18"/>
      <c r="J370" s="18"/>
      <c r="K370" s="18"/>
      <c r="L370" s="18"/>
      <c r="M370" s="18"/>
      <c r="N370" s="18"/>
      <c r="O370" s="18"/>
    </row>
    <row r="371" spans="2:15">
      <c r="B371" s="18"/>
      <c r="C371" s="18"/>
      <c r="D371" s="18"/>
      <c r="E371" s="18"/>
      <c r="F371" s="18"/>
      <c r="G371" s="18"/>
      <c r="H371" s="18"/>
      <c r="I371" s="18"/>
      <c r="J371" s="18"/>
      <c r="K371" s="18"/>
      <c r="L371" s="18"/>
      <c r="M371" s="18"/>
      <c r="N371" s="18"/>
      <c r="O371" s="18"/>
    </row>
    <row r="372" spans="2:15">
      <c r="B372" s="18"/>
      <c r="C372" s="18"/>
      <c r="D372" s="18"/>
      <c r="E372" s="18"/>
      <c r="F372" s="18"/>
      <c r="G372" s="18"/>
      <c r="H372" s="18"/>
      <c r="I372" s="18"/>
      <c r="J372" s="18"/>
      <c r="K372" s="18"/>
      <c r="L372" s="18"/>
      <c r="M372" s="18"/>
      <c r="N372" s="18"/>
      <c r="O372" s="18"/>
    </row>
    <row r="373" spans="2:15">
      <c r="B373" s="18"/>
      <c r="C373" s="18"/>
      <c r="D373" s="18"/>
      <c r="E373" s="18"/>
      <c r="F373" s="18"/>
      <c r="G373" s="18"/>
      <c r="H373" s="18"/>
      <c r="I373" s="18"/>
      <c r="J373" s="18"/>
      <c r="K373" s="18"/>
      <c r="L373" s="18"/>
      <c r="M373" s="18"/>
      <c r="N373" s="18"/>
      <c r="O373" s="18"/>
    </row>
    <row r="374" spans="2:15">
      <c r="B374" s="18"/>
      <c r="C374" s="18"/>
      <c r="D374" s="18"/>
      <c r="E374" s="18"/>
      <c r="F374" s="18"/>
      <c r="G374" s="18"/>
      <c r="H374" s="18"/>
      <c r="I374" s="18"/>
      <c r="J374" s="18"/>
      <c r="K374" s="18"/>
      <c r="L374" s="18"/>
      <c r="M374" s="18"/>
      <c r="N374" s="18"/>
      <c r="O374" s="18"/>
    </row>
    <row r="375" spans="2:15">
      <c r="B375" s="18"/>
      <c r="C375" s="18"/>
      <c r="D375" s="18"/>
      <c r="E375" s="18"/>
      <c r="F375" s="18"/>
      <c r="G375" s="18"/>
      <c r="H375" s="18"/>
      <c r="I375" s="18"/>
      <c r="J375" s="18"/>
      <c r="K375" s="18"/>
      <c r="L375" s="18"/>
      <c r="M375" s="18"/>
      <c r="N375" s="18"/>
      <c r="O375" s="18"/>
    </row>
    <row r="376" spans="2:15">
      <c r="B376" s="18"/>
      <c r="C376" s="18"/>
      <c r="D376" s="18"/>
      <c r="E376" s="18"/>
      <c r="F376" s="18"/>
      <c r="G376" s="18"/>
      <c r="H376" s="18"/>
      <c r="I376" s="18"/>
      <c r="J376" s="18"/>
      <c r="K376" s="18"/>
      <c r="L376" s="18"/>
      <c r="M376" s="18"/>
      <c r="N376" s="18"/>
      <c r="O376" s="18"/>
    </row>
    <row r="377" spans="2:15">
      <c r="B377" s="18"/>
      <c r="C377" s="18"/>
      <c r="D377" s="18"/>
      <c r="E377" s="18"/>
      <c r="F377" s="18"/>
      <c r="G377" s="18"/>
      <c r="H377" s="18"/>
      <c r="I377" s="18"/>
      <c r="J377" s="18"/>
      <c r="K377" s="18"/>
      <c r="L377" s="18"/>
      <c r="M377" s="18"/>
      <c r="N377" s="18"/>
      <c r="O377" s="18"/>
    </row>
    <row r="378" spans="2:15">
      <c r="B378" s="18"/>
      <c r="C378" s="18"/>
      <c r="D378" s="18"/>
      <c r="E378" s="18"/>
      <c r="F378" s="18"/>
      <c r="G378" s="18"/>
      <c r="H378" s="18"/>
      <c r="I378" s="18"/>
      <c r="J378" s="18"/>
      <c r="K378" s="18"/>
      <c r="L378" s="18"/>
      <c r="M378" s="18"/>
      <c r="N378" s="18"/>
      <c r="O378" s="18"/>
    </row>
    <row r="379" spans="2:15">
      <c r="B379" s="18"/>
      <c r="C379" s="18"/>
      <c r="D379" s="18"/>
      <c r="E379" s="18"/>
      <c r="F379" s="18"/>
      <c r="G379" s="18"/>
      <c r="H379" s="18"/>
      <c r="I379" s="18"/>
      <c r="J379" s="18"/>
      <c r="K379" s="18"/>
      <c r="L379" s="18"/>
      <c r="M379" s="18"/>
      <c r="N379" s="18"/>
      <c r="O379" s="18"/>
    </row>
    <row r="380" spans="2:15">
      <c r="B380" s="18"/>
      <c r="C380" s="18"/>
      <c r="D380" s="18"/>
      <c r="E380" s="18"/>
      <c r="F380" s="18"/>
      <c r="G380" s="18"/>
      <c r="H380" s="18"/>
      <c r="I380" s="18"/>
      <c r="J380" s="18"/>
      <c r="K380" s="18"/>
      <c r="L380" s="18"/>
      <c r="M380" s="18"/>
      <c r="N380" s="18"/>
      <c r="O380" s="18"/>
    </row>
    <row r="381" spans="2:15">
      <c r="B381" s="18"/>
      <c r="C381" s="18"/>
      <c r="D381" s="18"/>
      <c r="E381" s="18"/>
      <c r="F381" s="18"/>
      <c r="G381" s="18"/>
      <c r="H381" s="18"/>
      <c r="I381" s="18"/>
      <c r="J381" s="18"/>
      <c r="K381" s="18"/>
      <c r="L381" s="18"/>
      <c r="M381" s="18"/>
      <c r="N381" s="18"/>
      <c r="O381" s="18"/>
    </row>
    <row r="382" spans="2:15">
      <c r="B382" s="18"/>
      <c r="C382" s="18"/>
      <c r="D382" s="18"/>
      <c r="E382" s="18"/>
      <c r="F382" s="18"/>
      <c r="G382" s="18"/>
      <c r="H382" s="18"/>
      <c r="I382" s="18"/>
      <c r="J382" s="18"/>
      <c r="K382" s="18"/>
      <c r="L382" s="18"/>
      <c r="M382" s="18"/>
      <c r="N382" s="18"/>
      <c r="O382" s="18"/>
    </row>
    <row r="383" spans="2:15">
      <c r="B383" s="18"/>
      <c r="C383" s="18"/>
      <c r="D383" s="18"/>
      <c r="E383" s="18"/>
      <c r="F383" s="18"/>
      <c r="G383" s="18"/>
      <c r="H383" s="18"/>
      <c r="I383" s="18"/>
      <c r="J383" s="18"/>
      <c r="K383" s="18"/>
      <c r="L383" s="18"/>
      <c r="M383" s="18"/>
      <c r="N383" s="18"/>
      <c r="O383" s="18"/>
    </row>
    <row r="384" spans="2:15">
      <c r="B384" s="18"/>
      <c r="C384" s="18"/>
      <c r="D384" s="18"/>
      <c r="E384" s="18"/>
      <c r="F384" s="18"/>
      <c r="G384" s="18"/>
      <c r="H384" s="18"/>
      <c r="I384" s="18"/>
      <c r="J384" s="18"/>
      <c r="K384" s="18"/>
      <c r="L384" s="18"/>
      <c r="M384" s="18"/>
      <c r="N384" s="18"/>
      <c r="O384" s="18"/>
    </row>
    <row r="385" spans="2:15">
      <c r="B385" s="18"/>
      <c r="C385" s="18"/>
      <c r="D385" s="18"/>
      <c r="E385" s="18"/>
      <c r="F385" s="18"/>
      <c r="G385" s="18"/>
      <c r="H385" s="18"/>
      <c r="I385" s="18"/>
      <c r="J385" s="18"/>
      <c r="K385" s="18"/>
      <c r="L385" s="18"/>
      <c r="M385" s="18"/>
      <c r="N385" s="18"/>
      <c r="O385" s="18"/>
    </row>
    <row r="386" spans="2:15">
      <c r="B386" s="18"/>
      <c r="C386" s="18"/>
      <c r="D386" s="18"/>
      <c r="E386" s="18"/>
      <c r="F386" s="18"/>
      <c r="G386" s="18"/>
      <c r="H386" s="18"/>
      <c r="I386" s="18"/>
      <c r="J386" s="18"/>
      <c r="K386" s="18"/>
      <c r="L386" s="18"/>
      <c r="M386" s="18"/>
      <c r="N386" s="18"/>
      <c r="O386" s="18"/>
    </row>
    <row r="387" spans="2:15">
      <c r="B387" s="18"/>
      <c r="C387" s="18"/>
      <c r="D387" s="18"/>
      <c r="E387" s="18"/>
      <c r="F387" s="18"/>
      <c r="G387" s="18"/>
      <c r="H387" s="18"/>
      <c r="I387" s="18"/>
      <c r="J387" s="18"/>
      <c r="K387" s="18"/>
      <c r="L387" s="18"/>
      <c r="M387" s="18"/>
      <c r="N387" s="18"/>
      <c r="O387" s="18"/>
    </row>
    <row r="388" spans="2:15">
      <c r="B388" s="18"/>
      <c r="C388" s="18"/>
      <c r="D388" s="18"/>
      <c r="E388" s="18"/>
      <c r="F388" s="18"/>
      <c r="G388" s="18"/>
      <c r="H388" s="18"/>
      <c r="I388" s="18"/>
      <c r="J388" s="18"/>
      <c r="K388" s="18"/>
      <c r="L388" s="18"/>
      <c r="M388" s="18"/>
      <c r="N388" s="18"/>
      <c r="O388" s="18"/>
    </row>
    <row r="389" spans="2:15">
      <c r="B389" s="18"/>
      <c r="C389" s="18"/>
      <c r="D389" s="18"/>
      <c r="E389" s="18"/>
      <c r="F389" s="18"/>
      <c r="G389" s="18"/>
      <c r="H389" s="18"/>
      <c r="I389" s="18"/>
      <c r="J389" s="18"/>
      <c r="K389" s="18"/>
      <c r="L389" s="18"/>
      <c r="M389" s="18"/>
      <c r="N389" s="18"/>
      <c r="O389" s="18"/>
    </row>
    <row r="390" spans="2:15">
      <c r="B390" s="18"/>
      <c r="C390" s="18"/>
      <c r="D390" s="18"/>
      <c r="E390" s="18"/>
      <c r="F390" s="18"/>
      <c r="G390" s="18"/>
      <c r="H390" s="18"/>
      <c r="I390" s="18"/>
      <c r="J390" s="18"/>
      <c r="K390" s="18"/>
      <c r="L390" s="18"/>
      <c r="M390" s="18"/>
      <c r="N390" s="18"/>
      <c r="O390" s="18"/>
    </row>
    <row r="391" spans="2:15">
      <c r="B391" s="18"/>
      <c r="C391" s="18"/>
      <c r="D391" s="18"/>
      <c r="E391" s="18"/>
      <c r="F391" s="18"/>
      <c r="G391" s="18"/>
      <c r="H391" s="18"/>
      <c r="I391" s="18"/>
      <c r="J391" s="18"/>
      <c r="K391" s="18"/>
      <c r="L391" s="18"/>
      <c r="M391" s="18"/>
      <c r="N391" s="18"/>
      <c r="O391" s="18"/>
    </row>
    <row r="392" spans="2:15">
      <c r="B392" s="18"/>
      <c r="C392" s="18"/>
      <c r="D392" s="18"/>
      <c r="E392" s="18"/>
      <c r="F392" s="18"/>
      <c r="G392" s="18"/>
      <c r="H392" s="18"/>
      <c r="I392" s="18"/>
      <c r="J392" s="18"/>
      <c r="K392" s="18"/>
      <c r="L392" s="18"/>
      <c r="M392" s="18"/>
      <c r="N392" s="18"/>
      <c r="O392" s="18"/>
    </row>
    <row r="393" spans="2:15">
      <c r="B393" s="18"/>
      <c r="C393" s="18"/>
      <c r="D393" s="18"/>
      <c r="E393" s="18"/>
      <c r="F393" s="18"/>
      <c r="G393" s="18"/>
      <c r="H393" s="18"/>
      <c r="I393" s="18"/>
      <c r="J393" s="18"/>
      <c r="K393" s="18"/>
      <c r="L393" s="18"/>
      <c r="M393" s="18"/>
      <c r="N393" s="18"/>
      <c r="O393" s="18"/>
    </row>
    <row r="394" spans="2:15">
      <c r="B394" s="18"/>
      <c r="C394" s="18"/>
      <c r="D394" s="18"/>
      <c r="E394" s="18"/>
      <c r="F394" s="18"/>
      <c r="G394" s="18"/>
      <c r="H394" s="18"/>
      <c r="I394" s="18"/>
      <c r="J394" s="18"/>
      <c r="K394" s="18"/>
      <c r="L394" s="18"/>
      <c r="M394" s="18"/>
      <c r="N394" s="18"/>
      <c r="O394" s="18"/>
    </row>
    <row r="395" spans="2:15">
      <c r="B395" s="18"/>
      <c r="C395" s="18"/>
      <c r="D395" s="18"/>
      <c r="E395" s="18"/>
      <c r="F395" s="18"/>
      <c r="G395" s="18"/>
      <c r="H395" s="18"/>
      <c r="I395" s="18"/>
      <c r="J395" s="18"/>
      <c r="K395" s="18"/>
      <c r="L395" s="18"/>
      <c r="M395" s="18"/>
      <c r="N395" s="18"/>
      <c r="O395" s="18"/>
    </row>
    <row r="396" spans="2:15">
      <c r="B396" s="18"/>
      <c r="C396" s="18"/>
      <c r="D396" s="18"/>
      <c r="E396" s="18"/>
      <c r="F396" s="18"/>
      <c r="G396" s="18"/>
      <c r="H396" s="18"/>
      <c r="I396" s="18"/>
      <c r="J396" s="18"/>
      <c r="K396" s="18"/>
      <c r="L396" s="18"/>
      <c r="M396" s="18"/>
      <c r="N396" s="18"/>
      <c r="O396" s="18"/>
    </row>
    <row r="397" spans="2:15">
      <c r="B397" s="18"/>
      <c r="C397" s="18"/>
      <c r="D397" s="18"/>
      <c r="E397" s="18"/>
      <c r="F397" s="18"/>
      <c r="G397" s="18"/>
      <c r="H397" s="18"/>
      <c r="I397" s="18"/>
      <c r="J397" s="18"/>
      <c r="K397" s="18"/>
      <c r="L397" s="18"/>
      <c r="M397" s="18"/>
      <c r="N397" s="18"/>
      <c r="O397" s="18"/>
    </row>
    <row r="398" spans="2:15">
      <c r="B398" s="18"/>
      <c r="C398" s="18"/>
      <c r="D398" s="18"/>
      <c r="E398" s="18"/>
      <c r="F398" s="18"/>
      <c r="G398" s="18"/>
      <c r="H398" s="18"/>
      <c r="I398" s="18"/>
      <c r="J398" s="18"/>
      <c r="K398" s="18"/>
      <c r="L398" s="18"/>
      <c r="M398" s="18"/>
      <c r="N398" s="18"/>
      <c r="O398" s="18"/>
    </row>
    <row r="399" spans="2:15">
      <c r="B399" s="18"/>
      <c r="C399" s="18"/>
      <c r="D399" s="18"/>
      <c r="E399" s="18"/>
      <c r="F399" s="18"/>
      <c r="G399" s="18"/>
      <c r="H399" s="18"/>
      <c r="I399" s="18"/>
      <c r="J399" s="18"/>
      <c r="K399" s="18"/>
      <c r="L399" s="18"/>
      <c r="M399" s="18"/>
      <c r="N399" s="18"/>
      <c r="O399" s="18"/>
    </row>
    <row r="400" spans="2:15">
      <c r="B400" s="18"/>
      <c r="C400" s="18"/>
      <c r="D400" s="18"/>
      <c r="E400" s="18"/>
      <c r="F400" s="18"/>
      <c r="G400" s="18"/>
      <c r="H400" s="18"/>
      <c r="I400" s="18"/>
      <c r="J400" s="18"/>
      <c r="K400" s="18"/>
      <c r="L400" s="18"/>
      <c r="M400" s="18"/>
      <c r="N400" s="18"/>
      <c r="O400" s="18"/>
    </row>
    <row r="401" spans="2:15">
      <c r="B401" s="18"/>
      <c r="C401" s="18"/>
      <c r="D401" s="18"/>
      <c r="E401" s="18"/>
      <c r="F401" s="18"/>
      <c r="G401" s="18"/>
      <c r="H401" s="18"/>
      <c r="I401" s="18"/>
      <c r="J401" s="18"/>
      <c r="K401" s="18"/>
      <c r="L401" s="18"/>
      <c r="M401" s="18"/>
      <c r="N401" s="18"/>
      <c r="O401" s="18"/>
    </row>
    <row r="402" spans="2:15">
      <c r="B402" s="18"/>
      <c r="C402" s="18"/>
      <c r="D402" s="18"/>
      <c r="E402" s="18"/>
      <c r="F402" s="18"/>
      <c r="G402" s="18"/>
      <c r="H402" s="18"/>
      <c r="I402" s="18"/>
      <c r="J402" s="18"/>
      <c r="K402" s="18"/>
      <c r="L402" s="18"/>
      <c r="M402" s="18"/>
      <c r="N402" s="18"/>
      <c r="O402" s="18"/>
    </row>
    <row r="403" spans="2:15">
      <c r="B403" s="18"/>
      <c r="C403" s="18"/>
      <c r="D403" s="18"/>
      <c r="E403" s="18"/>
      <c r="F403" s="18"/>
      <c r="G403" s="18"/>
      <c r="H403" s="18"/>
      <c r="I403" s="18"/>
      <c r="J403" s="18"/>
      <c r="K403" s="18"/>
      <c r="L403" s="18"/>
      <c r="M403" s="18"/>
      <c r="N403" s="18"/>
      <c r="O403" s="18"/>
    </row>
    <row r="404" spans="2:15">
      <c r="B404" s="18"/>
      <c r="C404" s="18"/>
      <c r="D404" s="18"/>
      <c r="E404" s="18"/>
      <c r="F404" s="18"/>
      <c r="G404" s="18"/>
      <c r="H404" s="18"/>
      <c r="I404" s="18"/>
      <c r="J404" s="18"/>
      <c r="K404" s="18"/>
      <c r="L404" s="18"/>
      <c r="M404" s="18"/>
      <c r="N404" s="18"/>
      <c r="O404" s="18"/>
    </row>
    <row r="405" spans="2:15">
      <c r="B405" s="18"/>
      <c r="C405" s="18"/>
      <c r="D405" s="18"/>
      <c r="E405" s="18"/>
      <c r="F405" s="18"/>
      <c r="G405" s="18"/>
      <c r="H405" s="18"/>
      <c r="I405" s="18"/>
      <c r="J405" s="18"/>
      <c r="K405" s="18"/>
      <c r="L405" s="18"/>
      <c r="M405" s="18"/>
      <c r="N405" s="18"/>
      <c r="O405" s="18"/>
    </row>
    <row r="406" spans="2:15">
      <c r="B406" s="18"/>
      <c r="C406" s="18"/>
      <c r="D406" s="18"/>
      <c r="E406" s="18"/>
      <c r="F406" s="18"/>
      <c r="G406" s="18"/>
      <c r="H406" s="18"/>
      <c r="I406" s="18"/>
      <c r="J406" s="18"/>
      <c r="K406" s="18"/>
      <c r="L406" s="18"/>
      <c r="M406" s="18"/>
      <c r="N406" s="18"/>
      <c r="O406" s="18"/>
    </row>
    <row r="407" spans="2:15">
      <c r="B407" s="18"/>
      <c r="C407" s="18"/>
      <c r="D407" s="18"/>
      <c r="E407" s="18"/>
      <c r="F407" s="18"/>
      <c r="G407" s="18"/>
      <c r="H407" s="18"/>
      <c r="I407" s="18"/>
      <c r="J407" s="18"/>
      <c r="K407" s="18"/>
      <c r="L407" s="18"/>
      <c r="M407" s="18"/>
      <c r="N407" s="18"/>
      <c r="O407" s="18"/>
    </row>
    <row r="408" spans="2:15">
      <c r="B408" s="18"/>
      <c r="C408" s="18"/>
      <c r="D408" s="18"/>
      <c r="E408" s="18"/>
      <c r="F408" s="18"/>
      <c r="G408" s="18"/>
      <c r="H408" s="18"/>
      <c r="I408" s="18"/>
      <c r="J408" s="18"/>
      <c r="K408" s="18"/>
      <c r="L408" s="18"/>
      <c r="M408" s="18"/>
      <c r="N408" s="18"/>
      <c r="O408" s="18"/>
    </row>
    <row r="409" spans="2:15">
      <c r="B409" s="18"/>
      <c r="C409" s="18"/>
      <c r="D409" s="18"/>
      <c r="E409" s="18"/>
      <c r="F409" s="18"/>
      <c r="G409" s="18"/>
      <c r="H409" s="18"/>
      <c r="I409" s="18"/>
      <c r="J409" s="18"/>
      <c r="K409" s="18"/>
      <c r="L409" s="18"/>
      <c r="M409" s="18"/>
      <c r="N409" s="18"/>
      <c r="O409" s="18"/>
    </row>
    <row r="410" spans="2:15">
      <c r="B410" s="18"/>
      <c r="C410" s="18"/>
      <c r="D410" s="18"/>
      <c r="E410" s="18"/>
      <c r="F410" s="18"/>
      <c r="G410" s="18"/>
      <c r="H410" s="18"/>
      <c r="I410" s="18"/>
      <c r="J410" s="18"/>
      <c r="K410" s="18"/>
      <c r="L410" s="18"/>
      <c r="M410" s="18"/>
      <c r="N410" s="18"/>
      <c r="O410" s="18"/>
    </row>
    <row r="411" spans="2:15">
      <c r="B411" s="18"/>
      <c r="C411" s="18"/>
      <c r="D411" s="18"/>
      <c r="E411" s="18"/>
      <c r="F411" s="18"/>
      <c r="G411" s="18"/>
      <c r="H411" s="18"/>
      <c r="I411" s="18"/>
      <c r="J411" s="18"/>
      <c r="K411" s="18"/>
      <c r="L411" s="18"/>
      <c r="M411" s="18"/>
      <c r="N411" s="18"/>
      <c r="O411" s="18"/>
    </row>
    <row r="412" spans="2:15">
      <c r="B412" s="18"/>
      <c r="C412" s="18"/>
      <c r="D412" s="18"/>
      <c r="E412" s="18"/>
      <c r="F412" s="18"/>
      <c r="G412" s="18"/>
      <c r="H412" s="18"/>
      <c r="I412" s="18"/>
      <c r="J412" s="18"/>
      <c r="K412" s="18"/>
      <c r="L412" s="18"/>
      <c r="M412" s="18"/>
      <c r="N412" s="18"/>
      <c r="O412" s="18"/>
    </row>
    <row r="413" spans="2:15">
      <c r="B413" s="18"/>
      <c r="C413" s="18"/>
      <c r="D413" s="18"/>
      <c r="E413" s="18"/>
      <c r="F413" s="18"/>
      <c r="G413" s="18"/>
      <c r="H413" s="18"/>
      <c r="I413" s="18"/>
      <c r="J413" s="18"/>
      <c r="K413" s="18"/>
      <c r="L413" s="18"/>
      <c r="M413" s="18"/>
      <c r="N413" s="18"/>
      <c r="O413" s="18"/>
    </row>
    <row r="414" spans="2:15">
      <c r="B414" s="18"/>
      <c r="C414" s="18"/>
      <c r="D414" s="18"/>
      <c r="E414" s="18"/>
      <c r="F414" s="18"/>
      <c r="G414" s="18"/>
      <c r="H414" s="18"/>
      <c r="I414" s="18"/>
      <c r="J414" s="18"/>
      <c r="K414" s="18"/>
      <c r="L414" s="18"/>
      <c r="M414" s="18"/>
      <c r="N414" s="18"/>
      <c r="O414" s="18"/>
    </row>
    <row r="415" spans="2:15">
      <c r="B415" s="18"/>
      <c r="C415" s="18"/>
      <c r="D415" s="18"/>
      <c r="E415" s="18"/>
      <c r="F415" s="18"/>
      <c r="G415" s="18"/>
      <c r="H415" s="18"/>
      <c r="I415" s="18"/>
      <c r="J415" s="18"/>
      <c r="K415" s="18"/>
      <c r="L415" s="18"/>
      <c r="M415" s="18"/>
      <c r="N415" s="18"/>
      <c r="O415" s="18"/>
    </row>
    <row r="416" spans="2:15">
      <c r="B416" s="18"/>
      <c r="C416" s="18"/>
      <c r="D416" s="18"/>
      <c r="E416" s="18"/>
      <c r="F416" s="18"/>
      <c r="G416" s="18"/>
      <c r="H416" s="18"/>
      <c r="I416" s="18"/>
      <c r="J416" s="18"/>
      <c r="K416" s="18"/>
      <c r="L416" s="18"/>
      <c r="M416" s="18"/>
      <c r="N416" s="18"/>
      <c r="O416" s="18"/>
    </row>
    <row r="417" spans="2:15">
      <c r="B417" s="18"/>
      <c r="C417" s="18"/>
      <c r="D417" s="18"/>
      <c r="E417" s="18"/>
      <c r="F417" s="18"/>
      <c r="G417" s="18"/>
      <c r="H417" s="18"/>
      <c r="I417" s="18"/>
      <c r="J417" s="18"/>
      <c r="K417" s="18"/>
      <c r="L417" s="18"/>
      <c r="M417" s="18"/>
      <c r="N417" s="18"/>
      <c r="O417" s="18"/>
    </row>
    <row r="418" spans="2:15">
      <c r="B418" s="18"/>
      <c r="C418" s="18"/>
      <c r="D418" s="18"/>
      <c r="E418" s="18"/>
      <c r="F418" s="18"/>
      <c r="G418" s="18"/>
      <c r="H418" s="18"/>
      <c r="I418" s="18"/>
      <c r="J418" s="18"/>
      <c r="K418" s="18"/>
      <c r="L418" s="18"/>
      <c r="M418" s="18"/>
      <c r="N418" s="18"/>
      <c r="O418" s="18"/>
    </row>
    <row r="419" spans="2:15">
      <c r="B419" s="18"/>
      <c r="C419" s="18"/>
      <c r="D419" s="18"/>
      <c r="E419" s="18"/>
      <c r="F419" s="18"/>
      <c r="G419" s="18"/>
      <c r="H419" s="18"/>
      <c r="I419" s="18"/>
      <c r="J419" s="18"/>
      <c r="K419" s="18"/>
      <c r="L419" s="18"/>
      <c r="M419" s="18"/>
      <c r="N419" s="18"/>
      <c r="O419" s="18"/>
    </row>
    <row r="420" spans="2:15">
      <c r="B420" s="18"/>
      <c r="C420" s="18"/>
      <c r="D420" s="18"/>
      <c r="E420" s="18"/>
      <c r="F420" s="18"/>
      <c r="G420" s="18"/>
      <c r="H420" s="18"/>
      <c r="I420" s="18"/>
      <c r="J420" s="18"/>
      <c r="K420" s="18"/>
      <c r="L420" s="18"/>
      <c r="M420" s="18"/>
      <c r="N420" s="18"/>
      <c r="O420" s="18"/>
    </row>
    <row r="421" spans="2:15">
      <c r="B421" s="18"/>
      <c r="C421" s="18"/>
      <c r="D421" s="18"/>
      <c r="E421" s="18"/>
      <c r="F421" s="18"/>
      <c r="G421" s="18"/>
      <c r="H421" s="18"/>
      <c r="I421" s="18"/>
      <c r="J421" s="18"/>
      <c r="K421" s="18"/>
      <c r="L421" s="18"/>
      <c r="M421" s="18"/>
      <c r="N421" s="18"/>
      <c r="O421" s="18"/>
    </row>
    <row r="422" spans="2:15">
      <c r="B422" s="18"/>
      <c r="C422" s="18"/>
      <c r="D422" s="18"/>
      <c r="E422" s="18"/>
      <c r="F422" s="18"/>
      <c r="G422" s="18"/>
      <c r="H422" s="18"/>
      <c r="I422" s="18"/>
      <c r="J422" s="18"/>
      <c r="K422" s="18"/>
      <c r="L422" s="18"/>
      <c r="M422" s="18"/>
      <c r="N422" s="18"/>
      <c r="O422" s="18"/>
    </row>
    <row r="423" spans="2:15">
      <c r="B423" s="18"/>
      <c r="C423" s="18"/>
      <c r="D423" s="18"/>
      <c r="E423" s="18"/>
      <c r="F423" s="18"/>
      <c r="G423" s="18"/>
      <c r="H423" s="18"/>
      <c r="I423" s="18"/>
      <c r="J423" s="18"/>
      <c r="K423" s="18"/>
      <c r="L423" s="18"/>
      <c r="M423" s="18"/>
      <c r="N423" s="18"/>
      <c r="O423" s="18"/>
    </row>
    <row r="424" spans="2:15">
      <c r="B424" s="18"/>
      <c r="C424" s="18"/>
      <c r="D424" s="18"/>
      <c r="E424" s="18"/>
      <c r="F424" s="18"/>
      <c r="G424" s="18"/>
      <c r="H424" s="18"/>
      <c r="I424" s="18"/>
      <c r="J424" s="18"/>
      <c r="K424" s="18"/>
      <c r="L424" s="18"/>
      <c r="M424" s="18"/>
      <c r="N424" s="18"/>
      <c r="O424" s="18"/>
    </row>
    <row r="425" spans="2:15">
      <c r="B425" s="18"/>
      <c r="C425" s="18"/>
      <c r="D425" s="18"/>
      <c r="E425" s="18"/>
      <c r="F425" s="18"/>
      <c r="G425" s="18"/>
      <c r="H425" s="18"/>
      <c r="I425" s="18"/>
      <c r="J425" s="18"/>
      <c r="K425" s="18"/>
      <c r="L425" s="18"/>
      <c r="M425" s="18"/>
      <c r="N425" s="18"/>
      <c r="O425" s="18"/>
    </row>
    <row r="426" spans="2:15">
      <c r="B426" s="18"/>
      <c r="C426" s="18"/>
      <c r="D426" s="18"/>
      <c r="E426" s="18"/>
      <c r="F426" s="18"/>
      <c r="G426" s="18"/>
      <c r="H426" s="18"/>
      <c r="I426" s="18"/>
      <c r="J426" s="18"/>
      <c r="K426" s="18"/>
      <c r="L426" s="18"/>
      <c r="M426" s="18"/>
      <c r="N426" s="18"/>
      <c r="O426" s="18"/>
    </row>
    <row r="427" spans="2:15">
      <c r="B427" s="18"/>
      <c r="C427" s="18"/>
      <c r="D427" s="18"/>
      <c r="E427" s="18"/>
      <c r="F427" s="18"/>
      <c r="G427" s="18"/>
      <c r="H427" s="18"/>
      <c r="I427" s="18"/>
      <c r="J427" s="18"/>
      <c r="K427" s="18"/>
      <c r="L427" s="18"/>
      <c r="M427" s="18"/>
      <c r="N427" s="18"/>
      <c r="O427" s="18"/>
    </row>
    <row r="428" spans="2:15">
      <c r="B428" s="18"/>
      <c r="C428" s="18"/>
      <c r="D428" s="18"/>
      <c r="E428" s="18"/>
      <c r="F428" s="18"/>
      <c r="G428" s="18"/>
      <c r="H428" s="18"/>
      <c r="I428" s="18"/>
      <c r="J428" s="18"/>
      <c r="K428" s="18"/>
      <c r="L428" s="18"/>
      <c r="M428" s="18"/>
      <c r="N428" s="18"/>
      <c r="O428" s="18"/>
    </row>
    <row r="429" spans="2:15">
      <c r="B429" s="18"/>
      <c r="C429" s="18"/>
      <c r="D429" s="18"/>
      <c r="E429" s="18"/>
      <c r="F429" s="18"/>
      <c r="G429" s="18"/>
      <c r="H429" s="18"/>
      <c r="I429" s="18"/>
      <c r="J429" s="18"/>
      <c r="K429" s="18"/>
      <c r="L429" s="18"/>
      <c r="M429" s="18"/>
      <c r="N429" s="18"/>
      <c r="O429" s="18"/>
    </row>
    <row r="430" spans="2:15">
      <c r="B430" s="18"/>
      <c r="C430" s="18"/>
      <c r="D430" s="18"/>
      <c r="E430" s="18"/>
      <c r="F430" s="18"/>
      <c r="G430" s="18"/>
      <c r="H430" s="18"/>
      <c r="I430" s="18"/>
      <c r="J430" s="18"/>
      <c r="K430" s="18"/>
      <c r="L430" s="18"/>
      <c r="M430" s="18"/>
      <c r="N430" s="18"/>
      <c r="O430" s="18"/>
    </row>
    <row r="431" spans="2:15">
      <c r="B431" s="18"/>
      <c r="C431" s="18"/>
      <c r="D431" s="18"/>
      <c r="E431" s="18"/>
      <c r="F431" s="18"/>
      <c r="G431" s="18"/>
      <c r="H431" s="18"/>
      <c r="I431" s="18"/>
      <c r="J431" s="18"/>
      <c r="K431" s="18"/>
      <c r="L431" s="18"/>
      <c r="M431" s="18"/>
      <c r="N431" s="18"/>
      <c r="O431" s="18"/>
    </row>
    <row r="432" spans="2:15">
      <c r="B432" s="18"/>
      <c r="C432" s="18"/>
      <c r="D432" s="18"/>
      <c r="E432" s="18"/>
      <c r="F432" s="18"/>
      <c r="G432" s="18"/>
      <c r="H432" s="18"/>
      <c r="I432" s="18"/>
      <c r="J432" s="18"/>
      <c r="K432" s="18"/>
      <c r="L432" s="18"/>
      <c r="M432" s="18"/>
      <c r="N432" s="18"/>
      <c r="O432" s="18"/>
    </row>
    <row r="433" spans="2:15">
      <c r="B433" s="18"/>
      <c r="C433" s="18"/>
      <c r="D433" s="18"/>
      <c r="E433" s="18"/>
      <c r="F433" s="18"/>
      <c r="G433" s="18"/>
      <c r="H433" s="18"/>
      <c r="I433" s="18"/>
      <c r="J433" s="18"/>
      <c r="K433" s="18"/>
      <c r="L433" s="18"/>
      <c r="M433" s="18"/>
      <c r="N433" s="18"/>
      <c r="O433" s="18"/>
    </row>
    <row r="434" spans="2:15">
      <c r="B434" s="18"/>
      <c r="C434" s="18"/>
      <c r="D434" s="18"/>
      <c r="E434" s="18"/>
      <c r="F434" s="18"/>
      <c r="G434" s="18"/>
      <c r="H434" s="18"/>
      <c r="I434" s="18"/>
      <c r="J434" s="18"/>
      <c r="K434" s="18"/>
      <c r="L434" s="18"/>
      <c r="M434" s="18"/>
      <c r="N434" s="18"/>
      <c r="O434" s="18"/>
    </row>
    <row r="435" spans="2:15">
      <c r="B435" s="18"/>
      <c r="C435" s="18"/>
      <c r="D435" s="18"/>
      <c r="E435" s="18"/>
      <c r="F435" s="18"/>
      <c r="G435" s="18"/>
      <c r="H435" s="18"/>
      <c r="I435" s="18"/>
      <c r="J435" s="18"/>
      <c r="K435" s="18"/>
      <c r="L435" s="18"/>
      <c r="M435" s="18"/>
      <c r="N435" s="18"/>
      <c r="O435" s="18"/>
    </row>
    <row r="436" spans="2:15">
      <c r="B436" s="18"/>
      <c r="C436" s="18"/>
      <c r="D436" s="18"/>
      <c r="E436" s="18"/>
      <c r="F436" s="18"/>
      <c r="G436" s="18"/>
      <c r="H436" s="18"/>
      <c r="I436" s="18"/>
      <c r="J436" s="18"/>
      <c r="K436" s="18"/>
      <c r="L436" s="18"/>
      <c r="M436" s="18"/>
      <c r="N436" s="18"/>
      <c r="O436" s="18"/>
    </row>
    <row r="437" spans="2:15">
      <c r="B437" s="18"/>
      <c r="C437" s="18"/>
      <c r="D437" s="18"/>
      <c r="E437" s="18"/>
      <c r="F437" s="18"/>
      <c r="G437" s="18"/>
      <c r="H437" s="18"/>
      <c r="I437" s="18"/>
      <c r="J437" s="18"/>
      <c r="K437" s="18"/>
      <c r="L437" s="18"/>
      <c r="M437" s="18"/>
      <c r="N437" s="18"/>
      <c r="O437" s="18"/>
    </row>
    <row r="438" spans="2:15">
      <c r="B438" s="18"/>
      <c r="C438" s="18"/>
      <c r="D438" s="18"/>
      <c r="E438" s="18"/>
      <c r="F438" s="18"/>
      <c r="G438" s="18"/>
      <c r="H438" s="18"/>
      <c r="I438" s="18"/>
      <c r="J438" s="18"/>
      <c r="K438" s="18"/>
      <c r="L438" s="18"/>
      <c r="M438" s="18"/>
      <c r="N438" s="18"/>
      <c r="O438" s="18"/>
    </row>
    <row r="439" spans="2:15">
      <c r="B439" s="18"/>
      <c r="C439" s="18"/>
      <c r="D439" s="18"/>
      <c r="E439" s="18"/>
      <c r="F439" s="18"/>
      <c r="G439" s="18"/>
      <c r="H439" s="18"/>
      <c r="I439" s="18"/>
      <c r="J439" s="18"/>
      <c r="K439" s="18"/>
      <c r="L439" s="18"/>
      <c r="M439" s="18"/>
      <c r="N439" s="18"/>
      <c r="O439" s="18"/>
    </row>
    <row r="440" spans="2:15">
      <c r="B440" s="18"/>
      <c r="C440" s="18"/>
      <c r="D440" s="18"/>
      <c r="E440" s="18"/>
      <c r="F440" s="18"/>
      <c r="G440" s="18"/>
      <c r="H440" s="18"/>
      <c r="I440" s="18"/>
      <c r="J440" s="18"/>
      <c r="K440" s="18"/>
      <c r="L440" s="18"/>
      <c r="M440" s="18"/>
      <c r="N440" s="18"/>
      <c r="O440" s="18"/>
    </row>
    <row r="441" spans="2:15">
      <c r="B441" s="18"/>
      <c r="C441" s="18"/>
      <c r="D441" s="18"/>
      <c r="E441" s="18"/>
      <c r="F441" s="18"/>
      <c r="G441" s="18"/>
      <c r="H441" s="18"/>
      <c r="I441" s="18"/>
      <c r="J441" s="18"/>
      <c r="K441" s="18"/>
      <c r="L441" s="18"/>
      <c r="M441" s="18"/>
      <c r="N441" s="18"/>
      <c r="O441" s="18"/>
    </row>
    <row r="442" spans="2:15">
      <c r="B442" s="18"/>
      <c r="C442" s="18"/>
      <c r="D442" s="18"/>
      <c r="E442" s="18"/>
      <c r="F442" s="18"/>
      <c r="G442" s="18"/>
      <c r="H442" s="18"/>
      <c r="I442" s="18"/>
      <c r="J442" s="18"/>
      <c r="K442" s="18"/>
      <c r="L442" s="18"/>
      <c r="M442" s="18"/>
      <c r="N442" s="18"/>
      <c r="O442" s="18"/>
    </row>
    <row r="443" spans="2:15">
      <c r="B443" s="18"/>
      <c r="C443" s="18"/>
      <c r="D443" s="18"/>
      <c r="E443" s="18"/>
      <c r="F443" s="18"/>
      <c r="G443" s="18"/>
      <c r="H443" s="18"/>
      <c r="I443" s="18"/>
      <c r="J443" s="18"/>
      <c r="K443" s="18"/>
      <c r="L443" s="18"/>
      <c r="M443" s="18"/>
      <c r="N443" s="18"/>
      <c r="O443" s="18"/>
    </row>
    <row r="444" spans="2:15">
      <c r="B444" s="18"/>
      <c r="C444" s="18"/>
      <c r="D444" s="18"/>
      <c r="E444" s="18"/>
      <c r="F444" s="18"/>
      <c r="G444" s="18"/>
      <c r="H444" s="18"/>
      <c r="I444" s="18"/>
      <c r="J444" s="18"/>
      <c r="K444" s="18"/>
      <c r="L444" s="18"/>
      <c r="M444" s="18"/>
      <c r="N444" s="18"/>
      <c r="O444" s="18"/>
    </row>
    <row r="445" spans="2:15">
      <c r="B445" s="18"/>
      <c r="C445" s="18"/>
      <c r="D445" s="18"/>
      <c r="E445" s="18"/>
      <c r="F445" s="18"/>
      <c r="G445" s="18"/>
      <c r="H445" s="18"/>
      <c r="I445" s="18"/>
      <c r="J445" s="18"/>
      <c r="K445" s="18"/>
      <c r="L445" s="18"/>
      <c r="M445" s="18"/>
      <c r="N445" s="18"/>
      <c r="O445" s="18"/>
    </row>
    <row r="446" spans="2:15">
      <c r="B446" s="18"/>
      <c r="C446" s="18"/>
      <c r="D446" s="18"/>
      <c r="E446" s="18"/>
      <c r="F446" s="18"/>
      <c r="G446" s="18"/>
      <c r="H446" s="18"/>
      <c r="I446" s="18"/>
      <c r="J446" s="18"/>
      <c r="K446" s="18"/>
      <c r="L446" s="18"/>
      <c r="M446" s="18"/>
      <c r="N446" s="18"/>
      <c r="O446" s="18"/>
    </row>
    <row r="447" spans="2:15">
      <c r="B447" s="18"/>
      <c r="C447" s="18"/>
      <c r="D447" s="18"/>
      <c r="E447" s="18"/>
      <c r="F447" s="18"/>
      <c r="G447" s="18"/>
      <c r="H447" s="18"/>
      <c r="I447" s="18"/>
      <c r="J447" s="18"/>
      <c r="K447" s="18"/>
      <c r="L447" s="18"/>
      <c r="M447" s="18"/>
      <c r="N447" s="18"/>
      <c r="O447" s="18"/>
    </row>
    <row r="448" spans="2:15">
      <c r="B448" s="18"/>
      <c r="C448" s="18"/>
      <c r="D448" s="18"/>
      <c r="E448" s="18"/>
      <c r="F448" s="18"/>
      <c r="G448" s="18"/>
      <c r="H448" s="18"/>
      <c r="I448" s="18"/>
      <c r="J448" s="18"/>
      <c r="K448" s="18"/>
      <c r="L448" s="18"/>
      <c r="M448" s="18"/>
      <c r="N448" s="18"/>
      <c r="O448" s="18"/>
    </row>
    <row r="449" spans="2:15">
      <c r="B449" s="18"/>
      <c r="C449" s="18"/>
      <c r="D449" s="18"/>
      <c r="E449" s="18"/>
      <c r="F449" s="18"/>
      <c r="G449" s="18"/>
      <c r="H449" s="18"/>
      <c r="I449" s="18"/>
      <c r="J449" s="18"/>
      <c r="K449" s="18"/>
      <c r="L449" s="18"/>
      <c r="M449" s="18"/>
      <c r="N449" s="18"/>
      <c r="O449" s="18"/>
    </row>
    <row r="450" spans="2:15">
      <c r="B450" s="18"/>
      <c r="C450" s="18"/>
      <c r="D450" s="18"/>
      <c r="E450" s="18"/>
      <c r="F450" s="18"/>
      <c r="G450" s="18"/>
      <c r="H450" s="18"/>
      <c r="I450" s="18"/>
      <c r="J450" s="18"/>
      <c r="K450" s="18"/>
      <c r="L450" s="18"/>
      <c r="M450" s="18"/>
      <c r="N450" s="18"/>
      <c r="O450" s="18"/>
    </row>
    <row r="451" spans="2:15">
      <c r="B451" s="18"/>
      <c r="C451" s="18"/>
      <c r="D451" s="18"/>
      <c r="E451" s="18"/>
      <c r="F451" s="18"/>
      <c r="G451" s="18"/>
      <c r="H451" s="18"/>
      <c r="I451" s="18"/>
      <c r="J451" s="18"/>
      <c r="K451" s="18"/>
      <c r="L451" s="18"/>
      <c r="M451" s="18"/>
      <c r="N451" s="18"/>
      <c r="O451" s="18"/>
    </row>
    <row r="452" spans="2:15">
      <c r="B452" s="18"/>
      <c r="C452" s="18"/>
      <c r="D452" s="18"/>
      <c r="E452" s="18"/>
      <c r="F452" s="18"/>
      <c r="G452" s="18"/>
      <c r="H452" s="18"/>
      <c r="I452" s="18"/>
      <c r="J452" s="18"/>
      <c r="K452" s="18"/>
      <c r="L452" s="18"/>
      <c r="M452" s="18"/>
      <c r="N452" s="18"/>
      <c r="O452" s="18"/>
    </row>
    <row r="453" spans="2:15">
      <c r="B453" s="18"/>
      <c r="C453" s="18"/>
      <c r="D453" s="18"/>
      <c r="E453" s="18"/>
      <c r="F453" s="18"/>
      <c r="G453" s="18"/>
      <c r="H453" s="18"/>
      <c r="I453" s="18"/>
      <c r="J453" s="18"/>
      <c r="K453" s="18"/>
      <c r="L453" s="18"/>
      <c r="M453" s="18"/>
      <c r="N453" s="18"/>
      <c r="O453" s="18"/>
    </row>
    <row r="454" spans="2:15">
      <c r="B454" s="18"/>
      <c r="C454" s="18"/>
      <c r="D454" s="18"/>
      <c r="E454" s="18"/>
      <c r="F454" s="18"/>
      <c r="G454" s="18"/>
      <c r="H454" s="18"/>
      <c r="I454" s="18"/>
      <c r="J454" s="18"/>
      <c r="K454" s="18"/>
      <c r="L454" s="18"/>
      <c r="M454" s="18"/>
      <c r="N454" s="18"/>
      <c r="O454" s="18"/>
    </row>
    <row r="455" spans="2:15">
      <c r="B455" s="18"/>
      <c r="C455" s="18"/>
      <c r="D455" s="18"/>
      <c r="E455" s="18"/>
      <c r="F455" s="18"/>
      <c r="G455" s="18"/>
      <c r="H455" s="18"/>
      <c r="I455" s="18"/>
      <c r="J455" s="18"/>
      <c r="K455" s="18"/>
      <c r="L455" s="18"/>
      <c r="M455" s="18"/>
      <c r="N455" s="18"/>
      <c r="O455" s="18"/>
    </row>
    <row r="456" spans="2:15">
      <c r="B456" s="18"/>
      <c r="C456" s="18"/>
      <c r="D456" s="18"/>
      <c r="E456" s="18"/>
      <c r="F456" s="18"/>
      <c r="G456" s="18"/>
      <c r="H456" s="18"/>
      <c r="I456" s="18"/>
      <c r="J456" s="18"/>
      <c r="K456" s="18"/>
      <c r="L456" s="18"/>
      <c r="M456" s="18"/>
      <c r="N456" s="18"/>
      <c r="O456" s="18"/>
    </row>
    <row r="457" spans="2:15">
      <c r="B457" s="18"/>
      <c r="C457" s="18"/>
      <c r="D457" s="18"/>
      <c r="E457" s="18"/>
      <c r="F457" s="18"/>
      <c r="G457" s="18"/>
      <c r="H457" s="18"/>
      <c r="I457" s="18"/>
      <c r="J457" s="18"/>
      <c r="K457" s="18"/>
      <c r="L457" s="18"/>
      <c r="M457" s="18"/>
      <c r="N457" s="18"/>
      <c r="O457" s="18"/>
    </row>
    <row r="458" spans="2:15">
      <c r="B458" s="18"/>
      <c r="C458" s="18"/>
      <c r="D458" s="18"/>
      <c r="E458" s="18"/>
      <c r="F458" s="18"/>
      <c r="G458" s="18"/>
      <c r="H458" s="18"/>
      <c r="I458" s="18"/>
      <c r="J458" s="18"/>
      <c r="K458" s="18"/>
      <c r="L458" s="18"/>
      <c r="M458" s="18"/>
      <c r="N458" s="18"/>
      <c r="O458" s="18"/>
    </row>
    <row r="459" spans="2:15">
      <c r="B459" s="18"/>
      <c r="C459" s="18"/>
      <c r="D459" s="18"/>
      <c r="E459" s="18"/>
      <c r="F459" s="18"/>
      <c r="G459" s="18"/>
      <c r="H459" s="18"/>
      <c r="I459" s="18"/>
      <c r="J459" s="18"/>
      <c r="K459" s="18"/>
      <c r="L459" s="18"/>
      <c r="M459" s="18"/>
      <c r="N459" s="18"/>
      <c r="O459" s="18"/>
    </row>
    <row r="460" spans="2:15">
      <c r="B460" s="18"/>
      <c r="C460" s="18"/>
      <c r="D460" s="18"/>
      <c r="E460" s="18"/>
      <c r="F460" s="18"/>
      <c r="G460" s="18"/>
      <c r="H460" s="18"/>
      <c r="I460" s="18"/>
      <c r="J460" s="18"/>
      <c r="K460" s="18"/>
      <c r="L460" s="18"/>
      <c r="M460" s="18"/>
      <c r="N460" s="18"/>
      <c r="O460" s="18"/>
    </row>
    <row r="461" spans="2:15">
      <c r="B461" s="18"/>
      <c r="C461" s="18"/>
      <c r="D461" s="18"/>
      <c r="E461" s="18"/>
      <c r="F461" s="18"/>
      <c r="G461" s="18"/>
      <c r="H461" s="18"/>
      <c r="I461" s="18"/>
      <c r="J461" s="18"/>
      <c r="K461" s="18"/>
      <c r="L461" s="18"/>
      <c r="M461" s="18"/>
      <c r="N461" s="18"/>
      <c r="O461" s="18"/>
    </row>
    <row r="462" spans="2:15">
      <c r="B462" s="18"/>
      <c r="C462" s="18"/>
      <c r="D462" s="18"/>
      <c r="E462" s="18"/>
      <c r="F462" s="18"/>
      <c r="G462" s="18"/>
      <c r="H462" s="18"/>
      <c r="I462" s="18"/>
      <c r="J462" s="18"/>
      <c r="K462" s="18"/>
      <c r="L462" s="18"/>
      <c r="M462" s="18"/>
      <c r="N462" s="18"/>
      <c r="O462" s="18"/>
    </row>
    <row r="463" spans="2:15">
      <c r="B463" s="18"/>
      <c r="C463" s="18"/>
      <c r="D463" s="18"/>
      <c r="E463" s="18"/>
      <c r="F463" s="18"/>
      <c r="G463" s="18"/>
      <c r="H463" s="18"/>
      <c r="I463" s="18"/>
      <c r="J463" s="18"/>
      <c r="K463" s="18"/>
      <c r="L463" s="18"/>
      <c r="M463" s="18"/>
      <c r="N463" s="18"/>
      <c r="O463" s="18"/>
    </row>
    <row r="464" spans="2:15">
      <c r="B464" s="18"/>
      <c r="C464" s="18"/>
      <c r="D464" s="18"/>
      <c r="E464" s="18"/>
      <c r="F464" s="18"/>
      <c r="G464" s="18"/>
      <c r="H464" s="18"/>
      <c r="I464" s="18"/>
      <c r="J464" s="18"/>
      <c r="K464" s="18"/>
      <c r="L464" s="18"/>
      <c r="M464" s="18"/>
      <c r="N464" s="18"/>
      <c r="O464" s="18"/>
    </row>
    <row r="465" spans="2:15">
      <c r="B465" s="18"/>
      <c r="C465" s="18"/>
      <c r="D465" s="18"/>
      <c r="E465" s="18"/>
      <c r="F465" s="18"/>
      <c r="G465" s="18"/>
      <c r="H465" s="18"/>
      <c r="I465" s="18"/>
      <c r="J465" s="18"/>
      <c r="K465" s="18"/>
      <c r="L465" s="18"/>
      <c r="M465" s="18"/>
      <c r="N465" s="18"/>
      <c r="O465" s="18"/>
    </row>
    <row r="466" spans="2:15">
      <c r="B466" s="18"/>
      <c r="C466" s="18"/>
      <c r="D466" s="18"/>
      <c r="E466" s="18"/>
      <c r="F466" s="18"/>
      <c r="G466" s="18"/>
      <c r="H466" s="18"/>
      <c r="I466" s="18"/>
      <c r="J466" s="18"/>
      <c r="K466" s="18"/>
      <c r="L466" s="18"/>
      <c r="M466" s="18"/>
      <c r="N466" s="18"/>
      <c r="O466" s="18"/>
    </row>
    <row r="467" spans="2:15">
      <c r="B467" s="18"/>
      <c r="C467" s="18"/>
      <c r="D467" s="18"/>
      <c r="E467" s="18"/>
      <c r="F467" s="18"/>
      <c r="G467" s="18"/>
      <c r="H467" s="18"/>
      <c r="I467" s="18"/>
      <c r="J467" s="18"/>
      <c r="K467" s="18"/>
      <c r="L467" s="18"/>
      <c r="M467" s="18"/>
      <c r="N467" s="18"/>
      <c r="O467" s="18"/>
    </row>
    <row r="468" spans="2:15">
      <c r="B468" s="18"/>
      <c r="C468" s="18"/>
      <c r="D468" s="18"/>
      <c r="E468" s="18"/>
      <c r="F468" s="18"/>
      <c r="G468" s="18"/>
      <c r="H468" s="18"/>
      <c r="I468" s="18"/>
      <c r="J468" s="18"/>
      <c r="K468" s="18"/>
      <c r="L468" s="18"/>
      <c r="M468" s="18"/>
      <c r="N468" s="18"/>
      <c r="O468" s="18"/>
    </row>
    <row r="469" spans="2:15">
      <c r="B469" s="18"/>
      <c r="C469" s="18"/>
      <c r="D469" s="18"/>
      <c r="E469" s="18"/>
      <c r="F469" s="18"/>
      <c r="G469" s="18"/>
      <c r="H469" s="18"/>
      <c r="I469" s="18"/>
      <c r="J469" s="18"/>
      <c r="K469" s="18"/>
      <c r="L469" s="18"/>
      <c r="M469" s="18"/>
      <c r="N469" s="18"/>
      <c r="O469" s="18"/>
    </row>
    <row r="470" spans="2:15">
      <c r="B470" s="18"/>
      <c r="C470" s="18"/>
      <c r="D470" s="18"/>
      <c r="E470" s="18"/>
      <c r="F470" s="18"/>
      <c r="G470" s="18"/>
      <c r="H470" s="18"/>
      <c r="I470" s="18"/>
      <c r="J470" s="18"/>
      <c r="K470" s="18"/>
      <c r="L470" s="18"/>
      <c r="M470" s="18"/>
      <c r="N470" s="18"/>
      <c r="O470" s="18"/>
    </row>
    <row r="471" spans="2:15">
      <c r="B471" s="18"/>
      <c r="C471" s="18"/>
      <c r="D471" s="18"/>
      <c r="E471" s="18"/>
      <c r="F471" s="18"/>
      <c r="G471" s="18"/>
      <c r="H471" s="18"/>
      <c r="I471" s="18"/>
      <c r="J471" s="18"/>
      <c r="K471" s="18"/>
      <c r="L471" s="18"/>
      <c r="M471" s="18"/>
      <c r="N471" s="18"/>
      <c r="O471" s="18"/>
    </row>
    <row r="472" spans="2:15">
      <c r="B472" s="18"/>
      <c r="C472" s="18"/>
      <c r="D472" s="18"/>
      <c r="E472" s="18"/>
      <c r="F472" s="18"/>
      <c r="G472" s="18"/>
      <c r="H472" s="18"/>
      <c r="I472" s="18"/>
      <c r="J472" s="18"/>
      <c r="K472" s="18"/>
      <c r="L472" s="18"/>
      <c r="M472" s="18"/>
      <c r="N472" s="18"/>
      <c r="O472" s="18"/>
    </row>
    <row r="473" spans="2:15">
      <c r="B473" s="18"/>
      <c r="C473" s="18"/>
      <c r="D473" s="18"/>
      <c r="E473" s="18"/>
      <c r="F473" s="18"/>
      <c r="G473" s="18"/>
      <c r="H473" s="18"/>
      <c r="I473" s="18"/>
      <c r="J473" s="18"/>
      <c r="K473" s="18"/>
      <c r="L473" s="18"/>
      <c r="M473" s="18"/>
      <c r="N473" s="18"/>
      <c r="O473" s="18"/>
    </row>
    <row r="474" spans="2:15">
      <c r="B474" s="18"/>
      <c r="C474" s="18"/>
      <c r="D474" s="18"/>
      <c r="E474" s="18"/>
      <c r="F474" s="18"/>
      <c r="G474" s="18"/>
      <c r="H474" s="18"/>
      <c r="I474" s="18"/>
      <c r="J474" s="18"/>
      <c r="K474" s="18"/>
      <c r="L474" s="18"/>
      <c r="M474" s="18"/>
      <c r="N474" s="18"/>
      <c r="O474" s="18"/>
    </row>
    <row r="475" spans="2:15">
      <c r="B475" s="18"/>
      <c r="C475" s="18"/>
      <c r="D475" s="18"/>
      <c r="E475" s="18"/>
      <c r="F475" s="18"/>
      <c r="G475" s="18"/>
      <c r="H475" s="18"/>
      <c r="I475" s="18"/>
      <c r="J475" s="18"/>
      <c r="K475" s="18"/>
      <c r="L475" s="18"/>
      <c r="M475" s="18"/>
      <c r="N475" s="18"/>
      <c r="O475" s="18"/>
    </row>
    <row r="476" spans="2:15">
      <c r="B476" s="18"/>
      <c r="C476" s="18"/>
      <c r="D476" s="18"/>
      <c r="E476" s="18"/>
      <c r="F476" s="18"/>
      <c r="G476" s="18"/>
      <c r="H476" s="18"/>
      <c r="I476" s="18"/>
      <c r="J476" s="18"/>
      <c r="K476" s="18"/>
      <c r="L476" s="18"/>
      <c r="M476" s="18"/>
      <c r="N476" s="18"/>
      <c r="O476" s="18"/>
    </row>
    <row r="477" spans="2:15">
      <c r="B477" s="18"/>
      <c r="C477" s="18"/>
      <c r="D477" s="18"/>
      <c r="E477" s="18"/>
      <c r="F477" s="18"/>
      <c r="G477" s="18"/>
      <c r="H477" s="18"/>
      <c r="I477" s="18"/>
      <c r="J477" s="18"/>
      <c r="K477" s="18"/>
      <c r="L477" s="18"/>
      <c r="M477" s="18"/>
      <c r="N477" s="18"/>
      <c r="O477" s="18"/>
    </row>
    <row r="478" spans="2:15">
      <c r="B478" s="18"/>
      <c r="C478" s="18"/>
      <c r="D478" s="18"/>
      <c r="E478" s="18"/>
      <c r="F478" s="18"/>
      <c r="G478" s="18"/>
      <c r="H478" s="18"/>
      <c r="I478" s="18"/>
      <c r="J478" s="18"/>
      <c r="K478" s="18"/>
      <c r="L478" s="18"/>
      <c r="M478" s="18"/>
      <c r="N478" s="18"/>
      <c r="O478" s="18"/>
    </row>
    <row r="479" spans="2:15">
      <c r="B479" s="18"/>
      <c r="C479" s="18"/>
      <c r="D479" s="18"/>
      <c r="E479" s="18"/>
      <c r="F479" s="18"/>
      <c r="G479" s="18"/>
      <c r="H479" s="18"/>
      <c r="I479" s="18"/>
      <c r="J479" s="18"/>
      <c r="K479" s="18"/>
      <c r="L479" s="18"/>
      <c r="M479" s="18"/>
      <c r="N479" s="18"/>
      <c r="O479" s="18"/>
    </row>
    <row r="480" spans="2:15">
      <c r="B480" s="18"/>
      <c r="C480" s="18"/>
      <c r="D480" s="18"/>
      <c r="E480" s="18"/>
      <c r="F480" s="18"/>
      <c r="G480" s="18"/>
      <c r="H480" s="18"/>
      <c r="I480" s="18"/>
      <c r="J480" s="18"/>
      <c r="K480" s="18"/>
      <c r="L480" s="18"/>
      <c r="M480" s="18"/>
      <c r="N480" s="18"/>
      <c r="O480" s="18"/>
    </row>
    <row r="481" spans="2:15">
      <c r="B481" s="18"/>
      <c r="C481" s="18"/>
      <c r="D481" s="18"/>
      <c r="E481" s="18"/>
      <c r="F481" s="18"/>
      <c r="G481" s="18"/>
      <c r="H481" s="18"/>
      <c r="I481" s="18"/>
      <c r="J481" s="18"/>
      <c r="K481" s="18"/>
      <c r="L481" s="18"/>
      <c r="M481" s="18"/>
      <c r="N481" s="18"/>
      <c r="O481" s="18"/>
    </row>
    <row r="482" spans="2:15">
      <c r="B482" s="18"/>
      <c r="C482" s="18"/>
      <c r="D482" s="18"/>
      <c r="E482" s="18"/>
      <c r="F482" s="18"/>
      <c r="G482" s="18"/>
      <c r="H482" s="18"/>
      <c r="I482" s="18"/>
      <c r="J482" s="18"/>
      <c r="K482" s="18"/>
      <c r="L482" s="18"/>
      <c r="M482" s="18"/>
      <c r="N482" s="18"/>
      <c r="O482" s="18"/>
    </row>
    <row r="483" spans="2:15">
      <c r="B483" s="18"/>
      <c r="C483" s="18"/>
      <c r="D483" s="18"/>
      <c r="E483" s="18"/>
      <c r="F483" s="18"/>
      <c r="G483" s="18"/>
      <c r="H483" s="18"/>
      <c r="I483" s="18"/>
      <c r="J483" s="18"/>
      <c r="K483" s="18"/>
      <c r="L483" s="18"/>
      <c r="M483" s="18"/>
      <c r="N483" s="18"/>
      <c r="O483" s="18"/>
    </row>
    <row r="484" spans="2:15">
      <c r="B484" s="18"/>
      <c r="C484" s="18"/>
      <c r="D484" s="18"/>
      <c r="E484" s="18"/>
      <c r="F484" s="18"/>
      <c r="G484" s="18"/>
      <c r="H484" s="18"/>
      <c r="I484" s="18"/>
      <c r="J484" s="18"/>
      <c r="K484" s="18"/>
      <c r="L484" s="18"/>
      <c r="M484" s="18"/>
      <c r="N484" s="18"/>
      <c r="O484" s="18"/>
    </row>
    <row r="485" spans="2:15">
      <c r="B485" s="18"/>
      <c r="C485" s="18"/>
      <c r="D485" s="18"/>
      <c r="E485" s="18"/>
      <c r="F485" s="18"/>
      <c r="G485" s="18"/>
      <c r="H485" s="18"/>
      <c r="I485" s="18"/>
      <c r="J485" s="18"/>
      <c r="K485" s="18"/>
      <c r="L485" s="18"/>
      <c r="M485" s="18"/>
      <c r="N485" s="18"/>
      <c r="O485" s="18"/>
    </row>
    <row r="486" spans="2:15">
      <c r="B486" s="18"/>
      <c r="C486" s="18"/>
      <c r="D486" s="18"/>
      <c r="E486" s="18"/>
      <c r="F486" s="18"/>
      <c r="G486" s="18"/>
      <c r="H486" s="18"/>
      <c r="I486" s="18"/>
      <c r="J486" s="18"/>
      <c r="K486" s="18"/>
      <c r="L486" s="18"/>
      <c r="M486" s="18"/>
      <c r="N486" s="18"/>
      <c r="O486" s="18"/>
    </row>
    <row r="487" spans="2:15">
      <c r="B487" s="18"/>
      <c r="C487" s="18"/>
      <c r="D487" s="18"/>
      <c r="E487" s="18"/>
      <c r="F487" s="18"/>
      <c r="G487" s="18"/>
      <c r="H487" s="18"/>
      <c r="I487" s="18"/>
      <c r="J487" s="18"/>
      <c r="K487" s="18"/>
      <c r="L487" s="18"/>
      <c r="M487" s="18"/>
      <c r="N487" s="18"/>
      <c r="O487" s="18"/>
    </row>
    <row r="488" spans="2:15">
      <c r="B488" s="18"/>
      <c r="C488" s="18"/>
      <c r="D488" s="18"/>
      <c r="E488" s="18"/>
      <c r="F488" s="18"/>
      <c r="G488" s="18"/>
      <c r="H488" s="18"/>
      <c r="I488" s="18"/>
      <c r="J488" s="18"/>
      <c r="K488" s="18"/>
      <c r="L488" s="18"/>
      <c r="M488" s="18"/>
      <c r="N488" s="18"/>
      <c r="O488" s="18"/>
    </row>
    <row r="489" spans="2:15">
      <c r="B489" s="18"/>
      <c r="C489" s="18"/>
      <c r="D489" s="18"/>
      <c r="E489" s="18"/>
      <c r="F489" s="18"/>
      <c r="G489" s="18"/>
      <c r="H489" s="18"/>
      <c r="I489" s="18"/>
      <c r="J489" s="18"/>
      <c r="K489" s="18"/>
      <c r="L489" s="18"/>
      <c r="M489" s="18"/>
      <c r="N489" s="18"/>
      <c r="O489" s="18"/>
    </row>
    <row r="490" spans="2:15">
      <c r="B490" s="18"/>
      <c r="C490" s="18"/>
      <c r="D490" s="18"/>
      <c r="E490" s="18"/>
      <c r="F490" s="18"/>
      <c r="G490" s="18"/>
      <c r="H490" s="18"/>
      <c r="I490" s="18"/>
      <c r="J490" s="18"/>
      <c r="K490" s="18"/>
      <c r="L490" s="18"/>
      <c r="M490" s="18"/>
      <c r="N490" s="18"/>
      <c r="O490" s="18"/>
    </row>
    <row r="491" spans="2:15">
      <c r="B491" s="18"/>
      <c r="C491" s="18"/>
      <c r="D491" s="18"/>
      <c r="E491" s="18"/>
      <c r="F491" s="18"/>
      <c r="G491" s="18"/>
      <c r="H491" s="18"/>
      <c r="I491" s="18"/>
      <c r="J491" s="18"/>
      <c r="K491" s="18"/>
      <c r="L491" s="18"/>
      <c r="M491" s="18"/>
      <c r="N491" s="18"/>
      <c r="O491" s="18"/>
    </row>
    <row r="492" spans="2:15">
      <c r="B492" s="18"/>
      <c r="C492" s="18"/>
      <c r="D492" s="18"/>
      <c r="E492" s="18"/>
      <c r="F492" s="18"/>
      <c r="G492" s="18"/>
      <c r="H492" s="18"/>
      <c r="I492" s="18"/>
      <c r="J492" s="18"/>
      <c r="K492" s="18"/>
      <c r="L492" s="18"/>
      <c r="M492" s="18"/>
      <c r="N492" s="18"/>
      <c r="O492" s="18"/>
    </row>
    <row r="493" spans="2:15">
      <c r="B493" s="18"/>
      <c r="C493" s="18"/>
      <c r="D493" s="18"/>
      <c r="E493" s="18"/>
      <c r="F493" s="18"/>
      <c r="G493" s="18"/>
      <c r="H493" s="18"/>
      <c r="I493" s="18"/>
      <c r="J493" s="18"/>
      <c r="K493" s="18"/>
      <c r="L493" s="18"/>
      <c r="M493" s="18"/>
      <c r="N493" s="18"/>
      <c r="O493" s="18"/>
    </row>
    <row r="494" spans="2:15">
      <c r="B494" s="18"/>
      <c r="C494" s="18"/>
      <c r="D494" s="18"/>
      <c r="E494" s="18"/>
      <c r="F494" s="18"/>
      <c r="G494" s="18"/>
      <c r="H494" s="18"/>
      <c r="I494" s="18"/>
      <c r="J494" s="18"/>
      <c r="K494" s="18"/>
      <c r="L494" s="18"/>
      <c r="M494" s="18"/>
      <c r="N494" s="18"/>
      <c r="O494" s="18"/>
    </row>
    <row r="495" spans="2:15">
      <c r="B495" s="18"/>
      <c r="C495" s="18"/>
      <c r="D495" s="18"/>
      <c r="E495" s="18"/>
      <c r="F495" s="18"/>
      <c r="G495" s="18"/>
      <c r="H495" s="18"/>
      <c r="I495" s="18"/>
      <c r="J495" s="18"/>
      <c r="K495" s="18"/>
      <c r="L495" s="18"/>
      <c r="M495" s="18"/>
      <c r="N495" s="18"/>
      <c r="O495" s="18"/>
    </row>
    <row r="496" spans="2:15">
      <c r="B496" s="18"/>
      <c r="C496" s="18"/>
      <c r="D496" s="18"/>
      <c r="E496" s="18"/>
      <c r="F496" s="18"/>
      <c r="G496" s="18"/>
      <c r="H496" s="18"/>
      <c r="I496" s="18"/>
      <c r="J496" s="18"/>
      <c r="K496" s="18"/>
      <c r="L496" s="18"/>
      <c r="M496" s="18"/>
      <c r="N496" s="18"/>
      <c r="O496" s="18"/>
    </row>
    <row r="497" spans="2:15">
      <c r="B497" s="18"/>
      <c r="C497" s="18"/>
      <c r="D497" s="18"/>
      <c r="E497" s="18"/>
      <c r="F497" s="18"/>
      <c r="G497" s="18"/>
      <c r="H497" s="18"/>
      <c r="I497" s="18"/>
      <c r="J497" s="18"/>
      <c r="K497" s="18"/>
      <c r="L497" s="18"/>
      <c r="M497" s="18"/>
      <c r="N497" s="18"/>
      <c r="O497" s="18"/>
    </row>
    <row r="498" spans="2:15">
      <c r="B498" s="18"/>
      <c r="C498" s="18"/>
      <c r="D498" s="18"/>
      <c r="E498" s="18"/>
      <c r="F498" s="18"/>
      <c r="G498" s="18"/>
      <c r="H498" s="18"/>
      <c r="I498" s="18"/>
      <c r="J498" s="18"/>
      <c r="K498" s="18"/>
      <c r="L498" s="18"/>
      <c r="M498" s="18"/>
      <c r="N498" s="18"/>
      <c r="O498" s="18"/>
    </row>
    <row r="499" spans="2:15">
      <c r="B499" s="18"/>
      <c r="C499" s="18"/>
      <c r="D499" s="18"/>
      <c r="E499" s="18"/>
      <c r="F499" s="18"/>
      <c r="G499" s="18"/>
      <c r="H499" s="18"/>
      <c r="I499" s="18"/>
      <c r="J499" s="18"/>
      <c r="K499" s="18"/>
      <c r="L499" s="18"/>
      <c r="M499" s="18"/>
      <c r="N499" s="18"/>
      <c r="O499" s="18"/>
    </row>
    <row r="500" spans="2:15">
      <c r="B500" s="18"/>
      <c r="C500" s="18"/>
      <c r="D500" s="18"/>
      <c r="E500" s="18"/>
      <c r="F500" s="18"/>
      <c r="G500" s="18"/>
      <c r="H500" s="18"/>
      <c r="I500" s="18"/>
      <c r="J500" s="18"/>
      <c r="K500" s="18"/>
      <c r="L500" s="18"/>
      <c r="M500" s="18"/>
      <c r="N500" s="18"/>
      <c r="O500" s="18"/>
    </row>
    <row r="501" spans="2:15">
      <c r="B501" s="18"/>
      <c r="C501" s="18"/>
      <c r="D501" s="18"/>
      <c r="E501" s="18"/>
      <c r="F501" s="18"/>
      <c r="G501" s="18"/>
      <c r="H501" s="18"/>
      <c r="I501" s="18"/>
      <c r="J501" s="18"/>
      <c r="K501" s="18"/>
      <c r="L501" s="18"/>
      <c r="M501" s="18"/>
      <c r="N501" s="18"/>
      <c r="O501" s="18"/>
    </row>
    <row r="502" spans="2:15">
      <c r="B502" s="18"/>
      <c r="C502" s="18"/>
      <c r="D502" s="18"/>
      <c r="E502" s="18"/>
      <c r="F502" s="18"/>
      <c r="G502" s="18"/>
      <c r="H502" s="18"/>
      <c r="I502" s="18"/>
      <c r="J502" s="18"/>
      <c r="K502" s="18"/>
      <c r="L502" s="18"/>
      <c r="M502" s="18"/>
      <c r="N502" s="18"/>
      <c r="O502" s="18"/>
    </row>
    <row r="503" spans="2:15">
      <c r="B503" s="18"/>
      <c r="C503" s="18"/>
      <c r="D503" s="18"/>
      <c r="E503" s="18"/>
      <c r="F503" s="18"/>
      <c r="G503" s="18"/>
      <c r="H503" s="18"/>
      <c r="I503" s="18"/>
      <c r="J503" s="18"/>
      <c r="K503" s="18"/>
      <c r="L503" s="18"/>
      <c r="M503" s="18"/>
      <c r="N503" s="18"/>
      <c r="O503" s="18"/>
    </row>
    <row r="504" spans="2:15">
      <c r="B504" s="18"/>
      <c r="C504" s="18"/>
      <c r="D504" s="18"/>
      <c r="E504" s="18"/>
      <c r="F504" s="18"/>
      <c r="G504" s="18"/>
      <c r="H504" s="18"/>
      <c r="I504" s="18"/>
      <c r="J504" s="18"/>
      <c r="K504" s="18"/>
      <c r="L504" s="18"/>
      <c r="M504" s="18"/>
      <c r="N504" s="18"/>
      <c r="O504" s="18"/>
    </row>
    <row r="505" spans="2:15">
      <c r="B505" s="18"/>
      <c r="C505" s="18"/>
      <c r="D505" s="18"/>
      <c r="E505" s="18"/>
      <c r="F505" s="18"/>
      <c r="G505" s="18"/>
      <c r="H505" s="18"/>
      <c r="I505" s="18"/>
      <c r="J505" s="18"/>
      <c r="K505" s="18"/>
      <c r="L505" s="18"/>
      <c r="M505" s="18"/>
      <c r="N505" s="18"/>
      <c r="O505" s="18"/>
    </row>
    <row r="506" spans="2:15">
      <c r="B506" s="18"/>
      <c r="C506" s="18"/>
      <c r="D506" s="18"/>
      <c r="E506" s="18"/>
      <c r="F506" s="18"/>
      <c r="G506" s="18"/>
      <c r="H506" s="18"/>
      <c r="I506" s="18"/>
      <c r="J506" s="18"/>
      <c r="K506" s="18"/>
      <c r="L506" s="18"/>
      <c r="M506" s="18"/>
      <c r="N506" s="18"/>
      <c r="O506" s="18"/>
    </row>
    <row r="507" spans="2:15">
      <c r="B507" s="18"/>
      <c r="C507" s="18"/>
      <c r="D507" s="18"/>
      <c r="E507" s="18"/>
      <c r="F507" s="18"/>
      <c r="G507" s="18"/>
      <c r="H507" s="18"/>
      <c r="I507" s="18"/>
      <c r="J507" s="18"/>
      <c r="K507" s="18"/>
      <c r="L507" s="18"/>
      <c r="M507" s="18"/>
      <c r="N507" s="18"/>
      <c r="O507" s="18"/>
    </row>
    <row r="508" spans="2:15">
      <c r="B508" s="18"/>
      <c r="C508" s="18"/>
      <c r="D508" s="18"/>
      <c r="E508" s="18"/>
      <c r="F508" s="18"/>
      <c r="G508" s="18"/>
      <c r="H508" s="18"/>
      <c r="I508" s="18"/>
      <c r="J508" s="18"/>
      <c r="K508" s="18"/>
      <c r="L508" s="18"/>
      <c r="M508" s="18"/>
      <c r="N508" s="18"/>
      <c r="O508" s="18"/>
    </row>
  </sheetData>
  <mergeCells count="20">
    <mergeCell ref="B9:B12"/>
    <mergeCell ref="D9:M9"/>
    <mergeCell ref="D10:M10"/>
    <mergeCell ref="D11:M11"/>
    <mergeCell ref="D12:M12"/>
    <mergeCell ref="A1:N1"/>
    <mergeCell ref="A2:N2"/>
    <mergeCell ref="D4:M4"/>
    <mergeCell ref="D5:M5"/>
    <mergeCell ref="D6:M6"/>
    <mergeCell ref="C28:M28"/>
    <mergeCell ref="C33:M33"/>
    <mergeCell ref="B13:B19"/>
    <mergeCell ref="D13:M13"/>
    <mergeCell ref="D14:M14"/>
    <mergeCell ref="D15:M15"/>
    <mergeCell ref="D16:M16"/>
    <mergeCell ref="D19:M19"/>
    <mergeCell ref="D17:L17"/>
    <mergeCell ref="D18:L18"/>
  </mergeCells>
  <pageMargins left="0.25" right="0.25" top="0.5" bottom="0.5" header="0.3" footer="0.3"/>
  <pageSetup orientation="landscape" horizontalDpi="1200" verticalDpi="1200" r:id="rId1"/>
  <headerFooter>
    <oddFooter>Page &amp;P&amp;R&amp;F</oddFooter>
  </headerFooter>
  <rowBreaks count="1" manualBreakCount="1">
    <brk id="2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workbookViewId="0">
      <selection activeCell="O101" sqref="O101"/>
    </sheetView>
  </sheetViews>
  <sheetFormatPr defaultRowHeight="15"/>
  <cols>
    <col min="1" max="1" width="16.7109375" bestFit="1" customWidth="1"/>
    <col min="2" max="2" width="59" customWidth="1"/>
    <col min="7" max="7" width="16.7109375" bestFit="1" customWidth="1"/>
    <col min="8" max="8" width="38.85546875" customWidth="1"/>
    <col min="9" max="13" width="9.140625" customWidth="1"/>
  </cols>
  <sheetData>
    <row r="1" spans="1:17">
      <c r="A1" s="276" t="s">
        <v>377</v>
      </c>
      <c r="B1" s="277"/>
      <c r="C1">
        <v>30</v>
      </c>
      <c r="G1" t="s">
        <v>377</v>
      </c>
      <c r="I1">
        <v>30</v>
      </c>
      <c r="J1">
        <v>10</v>
      </c>
      <c r="K1">
        <v>45</v>
      </c>
      <c r="L1" s="322">
        <v>10</v>
      </c>
      <c r="M1" t="s">
        <v>802</v>
      </c>
      <c r="O1" t="b">
        <f>EXACT(A1,G1)</f>
        <v>1</v>
      </c>
      <c r="P1" t="b">
        <f>EXACT(B1,H1)</f>
        <v>1</v>
      </c>
      <c r="Q1">
        <f>C1-I1</f>
        <v>0</v>
      </c>
    </row>
    <row r="2" spans="1:17">
      <c r="A2" s="276" t="s">
        <v>476</v>
      </c>
      <c r="B2" s="277" t="s">
        <v>763</v>
      </c>
      <c r="C2">
        <v>31652.958773428458</v>
      </c>
      <c r="G2" t="s">
        <v>476</v>
      </c>
      <c r="H2" t="s">
        <v>763</v>
      </c>
      <c r="I2">
        <v>31652.958773428501</v>
      </c>
      <c r="M2" t="s">
        <v>478</v>
      </c>
      <c r="O2" t="b">
        <f t="shared" ref="O2:O65" si="0">EXACT(A2,G2)</f>
        <v>1</v>
      </c>
      <c r="P2" t="b">
        <f t="shared" ref="P2:P65" si="1">EXACT(B2,H2)</f>
        <v>1</v>
      </c>
      <c r="Q2">
        <f t="shared" ref="Q2:Q65" si="2">C2-I2</f>
        <v>-4.3655745685100555E-11</v>
      </c>
    </row>
    <row r="3" spans="1:17">
      <c r="A3" s="276" t="s">
        <v>382</v>
      </c>
      <c r="B3" s="277"/>
      <c r="C3">
        <v>6.2898107704321058</v>
      </c>
      <c r="G3" t="s">
        <v>382</v>
      </c>
      <c r="I3">
        <v>6.2898107699999999</v>
      </c>
      <c r="L3" s="322">
        <v>10</v>
      </c>
      <c r="M3" t="s">
        <v>384</v>
      </c>
      <c r="O3" t="b">
        <f t="shared" si="0"/>
        <v>1</v>
      </c>
      <c r="P3" t="b">
        <f t="shared" si="1"/>
        <v>1</v>
      </c>
      <c r="Q3">
        <f t="shared" si="2"/>
        <v>4.3210590661146853E-10</v>
      </c>
    </row>
    <row r="4" spans="1:17">
      <c r="A4" s="307" t="s">
        <v>414</v>
      </c>
      <c r="B4" s="312"/>
      <c r="C4">
        <v>82</v>
      </c>
      <c r="G4" t="s">
        <v>414</v>
      </c>
      <c r="I4">
        <v>82</v>
      </c>
      <c r="J4">
        <v>25</v>
      </c>
      <c r="K4">
        <v>200</v>
      </c>
      <c r="L4" s="322">
        <v>10</v>
      </c>
      <c r="M4" t="s">
        <v>807</v>
      </c>
      <c r="O4" t="b">
        <f t="shared" si="0"/>
        <v>1</v>
      </c>
      <c r="P4" t="b">
        <f t="shared" si="1"/>
        <v>1</v>
      </c>
      <c r="Q4">
        <f t="shared" si="2"/>
        <v>0</v>
      </c>
    </row>
    <row r="5" spans="1:17">
      <c r="A5" s="307" t="s">
        <v>574</v>
      </c>
      <c r="B5" s="277" t="s">
        <v>780</v>
      </c>
      <c r="C5">
        <v>112.50181642207279</v>
      </c>
      <c r="G5" t="s">
        <v>574</v>
      </c>
      <c r="H5" t="s">
        <v>780</v>
      </c>
      <c r="I5">
        <v>112.501816417425</v>
      </c>
      <c r="M5" t="s">
        <v>688</v>
      </c>
      <c r="O5" t="b">
        <f t="shared" si="0"/>
        <v>1</v>
      </c>
      <c r="P5" t="b">
        <f t="shared" si="1"/>
        <v>1</v>
      </c>
      <c r="Q5">
        <f t="shared" si="2"/>
        <v>4.6477879322992521E-9</v>
      </c>
    </row>
    <row r="6" spans="1:17">
      <c r="A6" s="307" t="s">
        <v>434</v>
      </c>
      <c r="B6" s="277"/>
      <c r="C6">
        <v>0.84</v>
      </c>
      <c r="G6" t="s">
        <v>434</v>
      </c>
      <c r="I6">
        <v>0.84</v>
      </c>
      <c r="L6" s="322">
        <v>10</v>
      </c>
      <c r="M6" t="s">
        <v>435</v>
      </c>
      <c r="O6" t="b">
        <f t="shared" si="0"/>
        <v>1</v>
      </c>
      <c r="P6" t="b">
        <f t="shared" si="1"/>
        <v>1</v>
      </c>
      <c r="Q6">
        <f t="shared" si="2"/>
        <v>0</v>
      </c>
    </row>
    <row r="7" spans="1:17">
      <c r="A7" s="307" t="s">
        <v>448</v>
      </c>
      <c r="B7" s="277" t="s">
        <v>749</v>
      </c>
      <c r="C7">
        <v>13.473599999999999</v>
      </c>
      <c r="G7" t="s">
        <v>448</v>
      </c>
      <c r="H7" t="s">
        <v>749</v>
      </c>
      <c r="I7">
        <v>13.473599999999999</v>
      </c>
      <c r="M7" t="s">
        <v>449</v>
      </c>
      <c r="O7" t="b">
        <f t="shared" si="0"/>
        <v>1</v>
      </c>
      <c r="P7" t="b">
        <f t="shared" si="1"/>
        <v>1</v>
      </c>
      <c r="Q7">
        <f t="shared" si="2"/>
        <v>0</v>
      </c>
    </row>
    <row r="8" spans="1:17">
      <c r="A8" s="307" t="s">
        <v>464</v>
      </c>
      <c r="B8" s="312" t="s">
        <v>757</v>
      </c>
      <c r="C8">
        <v>712.12608740270571</v>
      </c>
      <c r="G8" t="s">
        <v>464</v>
      </c>
      <c r="H8" t="s">
        <v>757</v>
      </c>
      <c r="I8">
        <v>712.12608740270605</v>
      </c>
      <c r="M8" t="s">
        <v>820</v>
      </c>
      <c r="O8" t="b">
        <f t="shared" si="0"/>
        <v>1</v>
      </c>
      <c r="P8" t="b">
        <f t="shared" si="1"/>
        <v>1</v>
      </c>
      <c r="Q8">
        <f t="shared" si="2"/>
        <v>0</v>
      </c>
    </row>
    <row r="9" spans="1:17">
      <c r="A9" s="307" t="s">
        <v>436</v>
      </c>
      <c r="B9" s="277"/>
      <c r="C9">
        <v>0.04</v>
      </c>
      <c r="G9" t="s">
        <v>436</v>
      </c>
      <c r="I9">
        <v>0.04</v>
      </c>
      <c r="L9" s="322">
        <v>10</v>
      </c>
      <c r="M9" t="s">
        <v>437</v>
      </c>
      <c r="O9" t="b">
        <f t="shared" si="0"/>
        <v>1</v>
      </c>
      <c r="P9" t="b">
        <f t="shared" si="1"/>
        <v>1</v>
      </c>
      <c r="Q9">
        <f t="shared" si="2"/>
        <v>0</v>
      </c>
    </row>
    <row r="10" spans="1:17">
      <c r="A10" s="307" t="s">
        <v>450</v>
      </c>
      <c r="B10" s="277" t="s">
        <v>750</v>
      </c>
      <c r="C10">
        <v>1.2028000000000001</v>
      </c>
      <c r="G10" t="s">
        <v>450</v>
      </c>
      <c r="H10" t="s">
        <v>750</v>
      </c>
      <c r="I10">
        <v>1.2028000000000001</v>
      </c>
      <c r="M10" t="s">
        <v>451</v>
      </c>
      <c r="O10" t="b">
        <f t="shared" si="0"/>
        <v>1</v>
      </c>
      <c r="P10" t="b">
        <f t="shared" si="1"/>
        <v>1</v>
      </c>
      <c r="Q10">
        <f t="shared" si="2"/>
        <v>0</v>
      </c>
    </row>
    <row r="11" spans="1:17">
      <c r="A11" s="307" t="s">
        <v>466</v>
      </c>
      <c r="B11" s="277" t="s">
        <v>758</v>
      </c>
      <c r="C11">
        <v>33.706877965675702</v>
      </c>
      <c r="G11" t="s">
        <v>466</v>
      </c>
      <c r="H11" t="s">
        <v>758</v>
      </c>
      <c r="I11">
        <v>33.706877965675702</v>
      </c>
      <c r="M11" t="s">
        <v>821</v>
      </c>
      <c r="O11" t="b">
        <f t="shared" si="0"/>
        <v>1</v>
      </c>
      <c r="P11" t="b">
        <f t="shared" si="1"/>
        <v>1</v>
      </c>
      <c r="Q11">
        <f t="shared" si="2"/>
        <v>0</v>
      </c>
    </row>
    <row r="12" spans="1:17">
      <c r="A12" s="276" t="s">
        <v>438</v>
      </c>
      <c r="B12" s="277"/>
      <c r="C12">
        <v>0.02</v>
      </c>
      <c r="G12" t="s">
        <v>438</v>
      </c>
      <c r="I12">
        <v>0.02</v>
      </c>
      <c r="L12" s="322">
        <v>10</v>
      </c>
      <c r="M12" t="s">
        <v>439</v>
      </c>
      <c r="O12" t="b">
        <f t="shared" si="0"/>
        <v>1</v>
      </c>
      <c r="P12" t="b">
        <f t="shared" si="1"/>
        <v>1</v>
      </c>
      <c r="Q12">
        <f t="shared" si="2"/>
        <v>0</v>
      </c>
    </row>
    <row r="13" spans="1:17">
      <c r="A13" s="307" t="s">
        <v>452</v>
      </c>
      <c r="B13" s="277" t="s">
        <v>751</v>
      </c>
      <c r="C13">
        <v>0.88200000000000001</v>
      </c>
      <c r="G13" t="s">
        <v>452</v>
      </c>
      <c r="H13" t="s">
        <v>751</v>
      </c>
      <c r="I13">
        <v>0.88200000000000001</v>
      </c>
      <c r="M13" t="s">
        <v>453</v>
      </c>
      <c r="O13" t="b">
        <f t="shared" si="0"/>
        <v>1</v>
      </c>
      <c r="P13" t="b">
        <f t="shared" si="1"/>
        <v>1</v>
      </c>
      <c r="Q13">
        <f t="shared" si="2"/>
        <v>0</v>
      </c>
    </row>
    <row r="14" spans="1:17">
      <c r="A14" s="307" t="s">
        <v>468</v>
      </c>
      <c r="B14" s="277" t="s">
        <v>759</v>
      </c>
      <c r="C14">
        <v>16.702260371676861</v>
      </c>
      <c r="G14" t="s">
        <v>468</v>
      </c>
      <c r="H14" t="s">
        <v>759</v>
      </c>
      <c r="I14">
        <v>16.7022603716769</v>
      </c>
      <c r="M14" t="s">
        <v>822</v>
      </c>
      <c r="O14" t="b">
        <f t="shared" si="0"/>
        <v>1</v>
      </c>
      <c r="P14" t="b">
        <f t="shared" si="1"/>
        <v>1</v>
      </c>
      <c r="Q14">
        <f t="shared" si="2"/>
        <v>-3.907985046680551E-14</v>
      </c>
    </row>
    <row r="15" spans="1:17">
      <c r="A15" s="276" t="s">
        <v>440</v>
      </c>
      <c r="B15" s="277"/>
      <c r="C15">
        <v>0.01</v>
      </c>
      <c r="G15" t="s">
        <v>440</v>
      </c>
      <c r="I15">
        <v>0.01</v>
      </c>
      <c r="L15" s="322">
        <v>10</v>
      </c>
      <c r="M15" t="s">
        <v>816</v>
      </c>
      <c r="O15" t="b">
        <f t="shared" si="0"/>
        <v>1</v>
      </c>
      <c r="P15" t="b">
        <f t="shared" si="1"/>
        <v>1</v>
      </c>
      <c r="Q15">
        <f t="shared" si="2"/>
        <v>0</v>
      </c>
    </row>
    <row r="16" spans="1:17">
      <c r="A16" s="307" t="s">
        <v>454</v>
      </c>
      <c r="B16" s="277" t="s">
        <v>752</v>
      </c>
      <c r="C16">
        <v>0.58119999999999994</v>
      </c>
      <c r="G16" t="s">
        <v>454</v>
      </c>
      <c r="H16" t="s">
        <v>752</v>
      </c>
      <c r="I16">
        <v>0.58120000000000005</v>
      </c>
      <c r="M16" t="s">
        <v>817</v>
      </c>
      <c r="O16" t="b">
        <f t="shared" si="0"/>
        <v>1</v>
      </c>
      <c r="P16" t="b">
        <f t="shared" si="1"/>
        <v>1</v>
      </c>
      <c r="Q16">
        <f t="shared" si="2"/>
        <v>0</v>
      </c>
    </row>
    <row r="17" spans="1:17">
      <c r="A17" s="307" t="s">
        <v>470</v>
      </c>
      <c r="B17" s="277" t="s">
        <v>760</v>
      </c>
      <c r="C17">
        <v>8.2241763017876028</v>
      </c>
      <c r="G17" t="s">
        <v>470</v>
      </c>
      <c r="H17" t="s">
        <v>760</v>
      </c>
      <c r="I17">
        <v>8.2241763017875993</v>
      </c>
      <c r="M17" t="s">
        <v>823</v>
      </c>
      <c r="O17" t="b">
        <f t="shared" si="0"/>
        <v>1</v>
      </c>
      <c r="P17" t="b">
        <f t="shared" si="1"/>
        <v>1</v>
      </c>
      <c r="Q17">
        <f t="shared" si="2"/>
        <v>0</v>
      </c>
    </row>
    <row r="18" spans="1:17">
      <c r="A18" s="307" t="s">
        <v>432</v>
      </c>
      <c r="B18" s="277"/>
      <c r="C18">
        <v>0.06</v>
      </c>
      <c r="G18" t="s">
        <v>432</v>
      </c>
      <c r="I18">
        <v>0.06</v>
      </c>
      <c r="L18" s="322">
        <v>10</v>
      </c>
      <c r="M18" t="s">
        <v>433</v>
      </c>
      <c r="O18" t="b">
        <f t="shared" si="0"/>
        <v>1</v>
      </c>
      <c r="P18" t="b">
        <f t="shared" si="1"/>
        <v>1</v>
      </c>
      <c r="Q18">
        <f t="shared" si="2"/>
        <v>0</v>
      </c>
    </row>
    <row r="19" spans="1:17">
      <c r="A19" s="307" t="s">
        <v>446</v>
      </c>
      <c r="B19" s="277" t="s">
        <v>748</v>
      </c>
      <c r="C19">
        <v>2.6405999999999996</v>
      </c>
      <c r="G19" t="s">
        <v>446</v>
      </c>
      <c r="H19" t="s">
        <v>748</v>
      </c>
      <c r="I19">
        <v>2.6406000000000001</v>
      </c>
      <c r="M19" t="s">
        <v>447</v>
      </c>
      <c r="O19" t="b">
        <f t="shared" si="0"/>
        <v>1</v>
      </c>
      <c r="P19" t="b">
        <f t="shared" si="1"/>
        <v>1</v>
      </c>
      <c r="Q19">
        <f t="shared" si="2"/>
        <v>0</v>
      </c>
    </row>
    <row r="20" spans="1:17">
      <c r="A20" s="307" t="s">
        <v>462</v>
      </c>
      <c r="B20" s="277" t="s">
        <v>756</v>
      </c>
      <c r="C20">
        <v>50.696912786326536</v>
      </c>
      <c r="G20" t="s">
        <v>462</v>
      </c>
      <c r="H20" t="s">
        <v>756</v>
      </c>
      <c r="I20">
        <v>50.6969127863266</v>
      </c>
      <c r="M20" t="s">
        <v>819</v>
      </c>
      <c r="O20" t="b">
        <f t="shared" si="0"/>
        <v>1</v>
      </c>
      <c r="P20" t="b">
        <f t="shared" si="1"/>
        <v>1</v>
      </c>
      <c r="Q20">
        <f t="shared" si="2"/>
        <v>-6.3948846218409017E-14</v>
      </c>
    </row>
    <row r="21" spans="1:17">
      <c r="A21" s="307" t="s">
        <v>504</v>
      </c>
      <c r="B21" s="277" t="s">
        <v>799</v>
      </c>
      <c r="C21">
        <v>305565.83552340796</v>
      </c>
      <c r="G21" t="s">
        <v>504</v>
      </c>
      <c r="H21" t="s">
        <v>799</v>
      </c>
      <c r="I21">
        <v>305565.83544076898</v>
      </c>
      <c r="M21" t="s">
        <v>505</v>
      </c>
      <c r="O21" t="b">
        <f t="shared" si="0"/>
        <v>1</v>
      </c>
      <c r="P21" t="b">
        <f t="shared" si="1"/>
        <v>1</v>
      </c>
      <c r="Q21">
        <f t="shared" si="2"/>
        <v>8.2638987805694342E-5</v>
      </c>
    </row>
    <row r="22" spans="1:17">
      <c r="A22" s="307" t="s">
        <v>564</v>
      </c>
      <c r="B22" s="277"/>
      <c r="C22">
        <v>0.75</v>
      </c>
      <c r="G22" t="s">
        <v>564</v>
      </c>
      <c r="I22">
        <v>0.75</v>
      </c>
      <c r="L22" s="322">
        <v>10</v>
      </c>
      <c r="M22" t="s">
        <v>565</v>
      </c>
      <c r="O22" t="b">
        <f t="shared" si="0"/>
        <v>1</v>
      </c>
      <c r="P22" t="b">
        <f t="shared" si="1"/>
        <v>1</v>
      </c>
      <c r="Q22">
        <f t="shared" si="2"/>
        <v>0</v>
      </c>
    </row>
    <row r="23" spans="1:17">
      <c r="A23" s="307" t="s">
        <v>385</v>
      </c>
      <c r="B23" s="277" t="s">
        <v>386</v>
      </c>
      <c r="C23">
        <v>139.29846583474921</v>
      </c>
      <c r="G23" t="s">
        <v>385</v>
      </c>
      <c r="H23" t="s">
        <v>386</v>
      </c>
      <c r="I23">
        <v>139.298465844319</v>
      </c>
      <c r="M23" t="s">
        <v>388</v>
      </c>
      <c r="O23" t="b">
        <f t="shared" si="0"/>
        <v>1</v>
      </c>
      <c r="P23" t="b">
        <f t="shared" si="1"/>
        <v>1</v>
      </c>
      <c r="Q23">
        <f t="shared" si="2"/>
        <v>-9.5697885171830421E-9</v>
      </c>
    </row>
    <row r="24" spans="1:17">
      <c r="A24" s="307" t="s">
        <v>648</v>
      </c>
      <c r="B24" s="277"/>
      <c r="C24">
        <v>7272.6751696065112</v>
      </c>
      <c r="G24" t="s">
        <v>648</v>
      </c>
      <c r="I24">
        <v>7272.6751700000004</v>
      </c>
      <c r="J24">
        <v>6027.564179</v>
      </c>
      <c r="K24">
        <v>7339.39696</v>
      </c>
      <c r="L24" s="322">
        <v>10</v>
      </c>
      <c r="M24" t="s">
        <v>828</v>
      </c>
      <c r="O24" t="b">
        <f t="shared" si="0"/>
        <v>1</v>
      </c>
      <c r="P24" t="b">
        <f t="shared" si="1"/>
        <v>1</v>
      </c>
      <c r="Q24">
        <f t="shared" si="2"/>
        <v>-3.9348924474325031E-7</v>
      </c>
    </row>
    <row r="25" spans="1:17" ht="26.25">
      <c r="A25" s="307" t="s">
        <v>672</v>
      </c>
      <c r="B25" s="277" t="s">
        <v>784</v>
      </c>
      <c r="C25">
        <v>0</v>
      </c>
      <c r="G25" t="s">
        <v>672</v>
      </c>
      <c r="H25" t="s">
        <v>784</v>
      </c>
      <c r="I25">
        <v>0</v>
      </c>
      <c r="M25" t="s">
        <v>835</v>
      </c>
      <c r="O25" t="b">
        <f t="shared" si="0"/>
        <v>1</v>
      </c>
      <c r="P25" t="b">
        <f t="shared" si="1"/>
        <v>1</v>
      </c>
      <c r="Q25">
        <f t="shared" si="2"/>
        <v>0</v>
      </c>
    </row>
    <row r="26" spans="1:17">
      <c r="A26" s="307" t="s">
        <v>547</v>
      </c>
      <c r="B26" s="277" t="s">
        <v>767</v>
      </c>
      <c r="C26">
        <v>793</v>
      </c>
      <c r="G26" t="s">
        <v>547</v>
      </c>
      <c r="H26" t="s">
        <v>767</v>
      </c>
      <c r="I26">
        <v>793</v>
      </c>
      <c r="M26" t="s">
        <v>554</v>
      </c>
      <c r="O26" t="b">
        <f t="shared" si="0"/>
        <v>1</v>
      </c>
      <c r="P26" t="b">
        <f t="shared" si="1"/>
        <v>1</v>
      </c>
      <c r="Q26">
        <f t="shared" si="2"/>
        <v>0</v>
      </c>
    </row>
    <row r="27" spans="1:17">
      <c r="A27" s="307" t="s">
        <v>551</v>
      </c>
      <c r="B27" s="277" t="s">
        <v>768</v>
      </c>
      <c r="C27">
        <v>668</v>
      </c>
      <c r="G27" t="s">
        <v>551</v>
      </c>
      <c r="H27" t="s">
        <v>768</v>
      </c>
      <c r="I27">
        <v>668</v>
      </c>
      <c r="M27" t="s">
        <v>552</v>
      </c>
      <c r="O27" t="b">
        <f t="shared" si="0"/>
        <v>1</v>
      </c>
      <c r="P27" t="b">
        <f t="shared" si="1"/>
        <v>1</v>
      </c>
      <c r="Q27">
        <f t="shared" si="2"/>
        <v>0</v>
      </c>
    </row>
    <row r="28" spans="1:17">
      <c r="A28" s="307" t="s">
        <v>670</v>
      </c>
      <c r="B28" s="277" t="s">
        <v>783</v>
      </c>
      <c r="C28">
        <v>0</v>
      </c>
      <c r="G28" t="s">
        <v>670</v>
      </c>
      <c r="H28" t="s">
        <v>783</v>
      </c>
      <c r="I28">
        <v>0</v>
      </c>
      <c r="M28" t="s">
        <v>834</v>
      </c>
      <c r="O28" t="b">
        <f t="shared" si="0"/>
        <v>1</v>
      </c>
      <c r="P28" t="b">
        <f t="shared" si="1"/>
        <v>1</v>
      </c>
      <c r="Q28">
        <f t="shared" si="2"/>
        <v>0</v>
      </c>
    </row>
    <row r="29" spans="1:17">
      <c r="A29" s="307" t="s">
        <v>645</v>
      </c>
      <c r="B29" s="277"/>
      <c r="C29">
        <v>0.78306874790997782</v>
      </c>
      <c r="G29" t="s">
        <v>645</v>
      </c>
      <c r="I29">
        <v>0.78306874800000004</v>
      </c>
      <c r="J29">
        <v>0.77654996499999995</v>
      </c>
      <c r="K29">
        <v>0.89053044999999997</v>
      </c>
      <c r="L29" s="322">
        <v>10</v>
      </c>
      <c r="M29" t="s">
        <v>827</v>
      </c>
      <c r="O29" t="b">
        <f t="shared" si="0"/>
        <v>1</v>
      </c>
      <c r="P29" t="b">
        <f t="shared" si="1"/>
        <v>1</v>
      </c>
      <c r="Q29">
        <f t="shared" si="2"/>
        <v>-9.0022211907125893E-11</v>
      </c>
    </row>
    <row r="30" spans="1:17">
      <c r="A30" s="276" t="s">
        <v>389</v>
      </c>
      <c r="B30" s="277"/>
      <c r="C30">
        <v>35</v>
      </c>
      <c r="G30" t="s">
        <v>389</v>
      </c>
      <c r="I30">
        <v>35</v>
      </c>
      <c r="J30">
        <v>1</v>
      </c>
      <c r="K30">
        <v>65</v>
      </c>
      <c r="L30" s="322">
        <v>10</v>
      </c>
      <c r="M30" t="s">
        <v>390</v>
      </c>
      <c r="O30" t="b">
        <f t="shared" si="0"/>
        <v>1</v>
      </c>
      <c r="P30" t="b">
        <f t="shared" si="1"/>
        <v>1</v>
      </c>
      <c r="Q30">
        <f t="shared" si="2"/>
        <v>0</v>
      </c>
    </row>
    <row r="31" spans="1:17">
      <c r="A31" s="307" t="s">
        <v>458</v>
      </c>
      <c r="B31" s="277" t="s">
        <v>754</v>
      </c>
      <c r="C31">
        <v>19.681276999999998</v>
      </c>
      <c r="G31" t="s">
        <v>458</v>
      </c>
      <c r="H31" t="s">
        <v>754</v>
      </c>
      <c r="I31">
        <v>19.681277000000001</v>
      </c>
      <c r="M31" t="s">
        <v>459</v>
      </c>
      <c r="O31" t="b">
        <f t="shared" si="0"/>
        <v>1</v>
      </c>
      <c r="P31" t="b">
        <f t="shared" si="1"/>
        <v>1</v>
      </c>
      <c r="Q31">
        <f t="shared" si="2"/>
        <v>0</v>
      </c>
    </row>
    <row r="32" spans="1:17">
      <c r="A32" s="307" t="s">
        <v>474</v>
      </c>
      <c r="B32" s="277" t="s">
        <v>762</v>
      </c>
      <c r="C32">
        <v>846.86867555972697</v>
      </c>
      <c r="G32" t="s">
        <v>474</v>
      </c>
      <c r="H32" t="s">
        <v>762</v>
      </c>
      <c r="I32">
        <v>846.86867555972697</v>
      </c>
      <c r="M32" t="s">
        <v>475</v>
      </c>
      <c r="O32" t="b">
        <f t="shared" si="0"/>
        <v>1</v>
      </c>
      <c r="P32" t="b">
        <f t="shared" si="1"/>
        <v>1</v>
      </c>
      <c r="Q32">
        <f t="shared" si="2"/>
        <v>0</v>
      </c>
    </row>
    <row r="33" spans="1:17">
      <c r="A33" s="307" t="s">
        <v>499</v>
      </c>
      <c r="B33" s="312"/>
      <c r="C33">
        <v>1500</v>
      </c>
      <c r="G33" t="s">
        <v>499</v>
      </c>
      <c r="I33">
        <v>1500</v>
      </c>
      <c r="L33" s="322">
        <v>10</v>
      </c>
      <c r="M33" t="s">
        <v>500</v>
      </c>
      <c r="O33" t="b">
        <f t="shared" si="0"/>
        <v>1</v>
      </c>
      <c r="P33" t="b">
        <f t="shared" si="1"/>
        <v>1</v>
      </c>
      <c r="Q33">
        <f t="shared" si="2"/>
        <v>0</v>
      </c>
    </row>
    <row r="34" spans="1:17">
      <c r="A34" s="307" t="s">
        <v>428</v>
      </c>
      <c r="B34" s="277" t="s">
        <v>724</v>
      </c>
      <c r="C34">
        <v>908</v>
      </c>
      <c r="G34" t="s">
        <v>428</v>
      </c>
      <c r="H34" t="s">
        <v>789</v>
      </c>
      <c r="I34">
        <v>908</v>
      </c>
      <c r="M34" t="s">
        <v>429</v>
      </c>
      <c r="O34" t="b">
        <f t="shared" si="0"/>
        <v>1</v>
      </c>
      <c r="P34" t="b">
        <f t="shared" si="1"/>
        <v>0</v>
      </c>
      <c r="Q34">
        <f t="shared" si="2"/>
        <v>0</v>
      </c>
    </row>
    <row r="35" spans="1:17">
      <c r="A35" s="307" t="s">
        <v>442</v>
      </c>
      <c r="B35" s="277"/>
      <c r="C35">
        <v>0.01</v>
      </c>
      <c r="G35" t="s">
        <v>442</v>
      </c>
      <c r="I35">
        <v>0.01</v>
      </c>
      <c r="L35" s="322">
        <v>10</v>
      </c>
      <c r="M35" t="s">
        <v>443</v>
      </c>
      <c r="O35" t="b">
        <f t="shared" si="0"/>
        <v>1</v>
      </c>
      <c r="P35" t="b">
        <f t="shared" si="1"/>
        <v>1</v>
      </c>
      <c r="Q35">
        <f t="shared" si="2"/>
        <v>0</v>
      </c>
    </row>
    <row r="36" spans="1:17">
      <c r="A36" s="307" t="s">
        <v>456</v>
      </c>
      <c r="B36" s="312" t="s">
        <v>753</v>
      </c>
      <c r="C36">
        <v>0.34080900000000003</v>
      </c>
      <c r="G36" t="s">
        <v>456</v>
      </c>
      <c r="H36" t="s">
        <v>753</v>
      </c>
      <c r="I36">
        <v>0.34080899999999997</v>
      </c>
      <c r="M36" t="s">
        <v>457</v>
      </c>
      <c r="O36" t="b">
        <f t="shared" si="0"/>
        <v>1</v>
      </c>
      <c r="P36" t="b">
        <f t="shared" si="1"/>
        <v>1</v>
      </c>
      <c r="Q36">
        <f t="shared" si="2"/>
        <v>0</v>
      </c>
    </row>
    <row r="37" spans="1:17">
      <c r="A37" s="307" t="s">
        <v>472</v>
      </c>
      <c r="B37" s="277" t="s">
        <v>761</v>
      </c>
      <c r="C37">
        <v>8.4264768087573678</v>
      </c>
      <c r="G37" t="s">
        <v>472</v>
      </c>
      <c r="H37" t="s">
        <v>761</v>
      </c>
      <c r="I37">
        <v>8.4264768087573696</v>
      </c>
      <c r="M37" t="s">
        <v>824</v>
      </c>
      <c r="O37" t="b">
        <f t="shared" si="0"/>
        <v>1</v>
      </c>
      <c r="P37" t="b">
        <f t="shared" si="1"/>
        <v>1</v>
      </c>
      <c r="Q37">
        <f t="shared" si="2"/>
        <v>0</v>
      </c>
    </row>
    <row r="38" spans="1:17">
      <c r="A38" s="307" t="s">
        <v>425</v>
      </c>
      <c r="B38" s="277" t="s">
        <v>426</v>
      </c>
      <c r="C38">
        <v>3081.7527844949777</v>
      </c>
      <c r="G38" t="s">
        <v>425</v>
      </c>
      <c r="H38" t="s">
        <v>426</v>
      </c>
      <c r="I38">
        <v>3081.75278449498</v>
      </c>
      <c r="M38" t="s">
        <v>427</v>
      </c>
      <c r="O38" t="b">
        <f t="shared" si="0"/>
        <v>1</v>
      </c>
      <c r="P38" t="b">
        <f t="shared" si="1"/>
        <v>1</v>
      </c>
      <c r="Q38">
        <f t="shared" si="2"/>
        <v>0</v>
      </c>
    </row>
    <row r="39" spans="1:17">
      <c r="A39" s="307" t="s">
        <v>487</v>
      </c>
      <c r="B39" s="277"/>
      <c r="C39">
        <v>0.97219924163882065</v>
      </c>
      <c r="G39" t="s">
        <v>487</v>
      </c>
      <c r="I39">
        <v>0.97219924199999996</v>
      </c>
      <c r="L39" s="322">
        <v>10</v>
      </c>
      <c r="M39" t="s">
        <v>493</v>
      </c>
      <c r="O39" t="b">
        <f t="shared" si="0"/>
        <v>1</v>
      </c>
      <c r="P39" t="b">
        <f t="shared" si="1"/>
        <v>1</v>
      </c>
      <c r="Q39">
        <f t="shared" si="2"/>
        <v>-3.611793086832904E-10</v>
      </c>
    </row>
    <row r="40" spans="1:17">
      <c r="A40" s="307" t="s">
        <v>508</v>
      </c>
      <c r="B40" s="277" t="s">
        <v>733</v>
      </c>
      <c r="C40">
        <v>15.594075835886683</v>
      </c>
      <c r="G40" t="s">
        <v>508</v>
      </c>
      <c r="H40" t="s">
        <v>733</v>
      </c>
      <c r="I40">
        <v>15.59407584168</v>
      </c>
      <c r="M40" t="s">
        <v>523</v>
      </c>
      <c r="O40" t="b">
        <f t="shared" si="0"/>
        <v>1</v>
      </c>
      <c r="P40" t="b">
        <f t="shared" si="1"/>
        <v>1</v>
      </c>
      <c r="Q40">
        <f t="shared" si="2"/>
        <v>-5.7933178254643281E-9</v>
      </c>
    </row>
    <row r="41" spans="1:17">
      <c r="A41" s="307" t="s">
        <v>515</v>
      </c>
      <c r="B41" s="277" t="s">
        <v>741</v>
      </c>
      <c r="C41">
        <v>824.20052633825128</v>
      </c>
      <c r="G41" t="s">
        <v>515</v>
      </c>
      <c r="H41" t="s">
        <v>741</v>
      </c>
      <c r="I41">
        <v>824.20052664444802</v>
      </c>
      <c r="M41" t="s">
        <v>811</v>
      </c>
      <c r="O41" t="b">
        <f t="shared" si="0"/>
        <v>1</v>
      </c>
      <c r="P41" t="b">
        <f t="shared" si="1"/>
        <v>1</v>
      </c>
      <c r="Q41">
        <f t="shared" si="2"/>
        <v>-3.0619673907494871E-7</v>
      </c>
    </row>
    <row r="42" spans="1:17">
      <c r="A42" s="307" t="s">
        <v>488</v>
      </c>
      <c r="B42" s="277"/>
      <c r="C42">
        <v>4.5557302877440075E-3</v>
      </c>
      <c r="G42" t="s">
        <v>488</v>
      </c>
      <c r="I42">
        <v>4.55573E-3</v>
      </c>
      <c r="L42" s="322">
        <v>10</v>
      </c>
      <c r="M42" t="s">
        <v>494</v>
      </c>
      <c r="O42" t="b">
        <f t="shared" si="0"/>
        <v>1</v>
      </c>
      <c r="P42" t="b">
        <f t="shared" si="1"/>
        <v>1</v>
      </c>
      <c r="Q42">
        <f t="shared" si="2"/>
        <v>2.8774400744058237E-10</v>
      </c>
    </row>
    <row r="43" spans="1:17">
      <c r="A43" s="307" t="s">
        <v>509</v>
      </c>
      <c r="B43" s="277" t="s">
        <v>734</v>
      </c>
      <c r="C43">
        <v>0.13699080975246231</v>
      </c>
      <c r="G43" t="s">
        <v>509</v>
      </c>
      <c r="H43" t="s">
        <v>734</v>
      </c>
      <c r="I43">
        <v>0.1369908011</v>
      </c>
      <c r="M43" t="s">
        <v>524</v>
      </c>
      <c r="O43" t="b">
        <f t="shared" si="0"/>
        <v>1</v>
      </c>
      <c r="P43" t="b">
        <f t="shared" si="1"/>
        <v>1</v>
      </c>
      <c r="Q43">
        <f t="shared" si="2"/>
        <v>8.652462302194408E-9</v>
      </c>
    </row>
    <row r="44" spans="1:17">
      <c r="A44" s="307" t="s">
        <v>516</v>
      </c>
      <c r="B44" s="312" t="s">
        <v>742</v>
      </c>
      <c r="C44">
        <v>3.8389861213379972</v>
      </c>
      <c r="G44" t="s">
        <v>516</v>
      </c>
      <c r="H44" t="s">
        <v>742</v>
      </c>
      <c r="I44">
        <v>3.83898587886419</v>
      </c>
      <c r="M44" t="s">
        <v>812</v>
      </c>
      <c r="O44" t="b">
        <f t="shared" si="0"/>
        <v>1</v>
      </c>
      <c r="P44" t="b">
        <f t="shared" si="1"/>
        <v>1</v>
      </c>
      <c r="Q44">
        <f t="shared" si="2"/>
        <v>2.4247380725483936E-7</v>
      </c>
    </row>
    <row r="45" spans="1:17">
      <c r="A45" s="307" t="s">
        <v>489</v>
      </c>
      <c r="B45" s="277"/>
      <c r="C45">
        <v>0</v>
      </c>
      <c r="G45" t="s">
        <v>489</v>
      </c>
      <c r="I45">
        <v>0</v>
      </c>
      <c r="L45" s="322">
        <v>10</v>
      </c>
      <c r="M45" t="s">
        <v>495</v>
      </c>
      <c r="O45" t="b">
        <f t="shared" si="0"/>
        <v>1</v>
      </c>
      <c r="P45" t="b">
        <f t="shared" si="1"/>
        <v>1</v>
      </c>
      <c r="Q45">
        <f t="shared" si="2"/>
        <v>0</v>
      </c>
    </row>
    <row r="46" spans="1:17">
      <c r="A46" s="307" t="s">
        <v>510</v>
      </c>
      <c r="B46" s="277" t="s">
        <v>735</v>
      </c>
      <c r="C46">
        <v>0</v>
      </c>
      <c r="G46" t="s">
        <v>510</v>
      </c>
      <c r="H46" t="s">
        <v>735</v>
      </c>
      <c r="I46">
        <v>0</v>
      </c>
      <c r="M46" t="s">
        <v>525</v>
      </c>
      <c r="O46" t="b">
        <f t="shared" si="0"/>
        <v>1</v>
      </c>
      <c r="P46" t="b">
        <f t="shared" si="1"/>
        <v>1</v>
      </c>
      <c r="Q46">
        <f t="shared" si="2"/>
        <v>0</v>
      </c>
    </row>
    <row r="47" spans="1:17">
      <c r="A47" s="307" t="s">
        <v>517</v>
      </c>
      <c r="B47" s="277" t="s">
        <v>743</v>
      </c>
      <c r="C47">
        <v>0</v>
      </c>
      <c r="G47" t="s">
        <v>517</v>
      </c>
      <c r="H47" t="s">
        <v>743</v>
      </c>
      <c r="I47">
        <v>0</v>
      </c>
      <c r="M47" t="s">
        <v>813</v>
      </c>
      <c r="O47" t="b">
        <f t="shared" si="0"/>
        <v>1</v>
      </c>
      <c r="P47" t="b">
        <f t="shared" si="1"/>
        <v>1</v>
      </c>
      <c r="Q47">
        <f t="shared" si="2"/>
        <v>0</v>
      </c>
    </row>
    <row r="48" spans="1:17">
      <c r="A48" s="307" t="s">
        <v>490</v>
      </c>
      <c r="B48" s="277"/>
      <c r="C48">
        <v>0</v>
      </c>
      <c r="G48" t="s">
        <v>490</v>
      </c>
      <c r="I48">
        <v>0</v>
      </c>
      <c r="L48" s="322">
        <v>10</v>
      </c>
      <c r="M48" t="s">
        <v>496</v>
      </c>
      <c r="O48" t="b">
        <f t="shared" si="0"/>
        <v>1</v>
      </c>
      <c r="P48" t="b">
        <f t="shared" si="1"/>
        <v>1</v>
      </c>
      <c r="Q48">
        <f t="shared" si="2"/>
        <v>0</v>
      </c>
    </row>
    <row r="49" spans="1:17">
      <c r="A49" s="307" t="s">
        <v>511</v>
      </c>
      <c r="B49" s="312" t="s">
        <v>736</v>
      </c>
      <c r="C49">
        <v>0</v>
      </c>
      <c r="G49" t="s">
        <v>511</v>
      </c>
      <c r="H49" t="s">
        <v>736</v>
      </c>
      <c r="I49">
        <v>0</v>
      </c>
      <c r="M49" t="s">
        <v>808</v>
      </c>
      <c r="O49" t="b">
        <f t="shared" si="0"/>
        <v>1</v>
      </c>
      <c r="P49" t="b">
        <f t="shared" si="1"/>
        <v>1</v>
      </c>
      <c r="Q49">
        <f t="shared" si="2"/>
        <v>0</v>
      </c>
    </row>
    <row r="50" spans="1:17">
      <c r="A50" s="307" t="s">
        <v>518</v>
      </c>
      <c r="B50" s="277" t="s">
        <v>744</v>
      </c>
      <c r="C50">
        <v>0</v>
      </c>
      <c r="G50" t="s">
        <v>518</v>
      </c>
      <c r="H50" t="s">
        <v>744</v>
      </c>
      <c r="I50">
        <v>0</v>
      </c>
      <c r="M50" t="s">
        <v>814</v>
      </c>
      <c r="O50" t="b">
        <f t="shared" si="0"/>
        <v>1</v>
      </c>
      <c r="P50" t="b">
        <f t="shared" si="1"/>
        <v>1</v>
      </c>
      <c r="Q50">
        <f t="shared" si="2"/>
        <v>0</v>
      </c>
    </row>
    <row r="51" spans="1:17">
      <c r="A51" s="307" t="s">
        <v>486</v>
      </c>
      <c r="B51" s="277"/>
      <c r="C51">
        <v>0</v>
      </c>
      <c r="G51" t="s">
        <v>486</v>
      </c>
      <c r="I51">
        <v>0</v>
      </c>
      <c r="L51" s="322">
        <v>10</v>
      </c>
      <c r="M51" t="s">
        <v>492</v>
      </c>
      <c r="O51" t="b">
        <f t="shared" si="0"/>
        <v>1</v>
      </c>
      <c r="P51" t="b">
        <f t="shared" si="1"/>
        <v>1</v>
      </c>
      <c r="Q51">
        <f t="shared" si="2"/>
        <v>0</v>
      </c>
    </row>
    <row r="52" spans="1:17">
      <c r="A52" s="307" t="s">
        <v>507</v>
      </c>
      <c r="B52" s="277" t="s">
        <v>732</v>
      </c>
      <c r="C52">
        <v>0</v>
      </c>
      <c r="G52" t="s">
        <v>507</v>
      </c>
      <c r="H52" t="s">
        <v>732</v>
      </c>
      <c r="I52">
        <v>0</v>
      </c>
      <c r="M52" t="s">
        <v>522</v>
      </c>
      <c r="O52" t="b">
        <f t="shared" si="0"/>
        <v>1</v>
      </c>
      <c r="P52" t="b">
        <f t="shared" si="1"/>
        <v>1</v>
      </c>
      <c r="Q52">
        <f t="shared" si="2"/>
        <v>0</v>
      </c>
    </row>
    <row r="53" spans="1:17">
      <c r="A53" s="307" t="s">
        <v>514</v>
      </c>
      <c r="B53" s="312" t="s">
        <v>740</v>
      </c>
      <c r="C53">
        <v>0</v>
      </c>
      <c r="G53" t="s">
        <v>514</v>
      </c>
      <c r="H53" t="s">
        <v>740</v>
      </c>
      <c r="I53">
        <v>0</v>
      </c>
      <c r="M53" t="s">
        <v>810</v>
      </c>
      <c r="O53" t="b">
        <f t="shared" si="0"/>
        <v>1</v>
      </c>
      <c r="P53" t="b">
        <f t="shared" si="1"/>
        <v>1</v>
      </c>
      <c r="Q53">
        <f t="shared" si="2"/>
        <v>0</v>
      </c>
    </row>
    <row r="54" spans="1:17">
      <c r="A54" s="307" t="s">
        <v>548</v>
      </c>
      <c r="B54" s="277"/>
      <c r="C54">
        <v>0.5</v>
      </c>
      <c r="G54" t="s">
        <v>548</v>
      </c>
      <c r="I54">
        <v>0.5</v>
      </c>
      <c r="L54" s="322">
        <v>10</v>
      </c>
      <c r="M54" t="s">
        <v>549</v>
      </c>
      <c r="O54" t="b">
        <f t="shared" si="0"/>
        <v>1</v>
      </c>
      <c r="P54" t="b">
        <f t="shared" si="1"/>
        <v>1</v>
      </c>
      <c r="Q54">
        <f t="shared" si="2"/>
        <v>0</v>
      </c>
    </row>
    <row r="55" spans="1:17">
      <c r="A55" s="307" t="s">
        <v>501</v>
      </c>
      <c r="B55" s="277" t="s">
        <v>707</v>
      </c>
      <c r="C55">
        <v>14175000</v>
      </c>
      <c r="G55" t="s">
        <v>501</v>
      </c>
      <c r="H55" t="s">
        <v>707</v>
      </c>
      <c r="I55">
        <v>14175000</v>
      </c>
      <c r="M55" t="s">
        <v>503</v>
      </c>
      <c r="O55" t="b">
        <f t="shared" si="0"/>
        <v>1</v>
      </c>
      <c r="P55" t="b">
        <f t="shared" si="1"/>
        <v>1</v>
      </c>
      <c r="Q55">
        <f t="shared" si="2"/>
        <v>0</v>
      </c>
    </row>
    <row r="56" spans="1:17">
      <c r="A56" s="307" t="s">
        <v>797</v>
      </c>
      <c r="B56" s="277" t="s">
        <v>798</v>
      </c>
      <c r="C56">
        <v>273912.87674997951</v>
      </c>
      <c r="G56" t="s">
        <v>797</v>
      </c>
      <c r="H56" t="s">
        <v>798</v>
      </c>
      <c r="I56">
        <v>273912.87666734</v>
      </c>
      <c r="M56" t="s">
        <v>529</v>
      </c>
      <c r="O56" t="b">
        <f>EXACT(A56,G56)</f>
        <v>1</v>
      </c>
      <c r="P56" t="b">
        <f t="shared" si="1"/>
        <v>1</v>
      </c>
      <c r="Q56">
        <f t="shared" si="2"/>
        <v>8.2639511674642563E-5</v>
      </c>
    </row>
    <row r="57" spans="1:17">
      <c r="A57" s="307" t="s">
        <v>520</v>
      </c>
      <c r="B57" s="312" t="s">
        <v>746</v>
      </c>
      <c r="C57">
        <v>847.78137989146592</v>
      </c>
      <c r="G57" t="s">
        <v>520</v>
      </c>
      <c r="H57" t="s">
        <v>746</v>
      </c>
      <c r="I57">
        <v>847.78137989282095</v>
      </c>
      <c r="M57" t="s">
        <v>528</v>
      </c>
      <c r="O57" t="b">
        <f t="shared" si="0"/>
        <v>1</v>
      </c>
      <c r="P57" t="b">
        <f t="shared" si="1"/>
        <v>1</v>
      </c>
      <c r="Q57">
        <f t="shared" si="2"/>
        <v>-1.3550334188039415E-9</v>
      </c>
    </row>
    <row r="58" spans="1:17">
      <c r="A58" s="307" t="s">
        <v>491</v>
      </c>
      <c r="B58" s="277"/>
      <c r="C58">
        <v>0</v>
      </c>
      <c r="G58" t="s">
        <v>491</v>
      </c>
      <c r="I58">
        <v>0</v>
      </c>
      <c r="L58" s="322">
        <v>10</v>
      </c>
      <c r="M58" t="s">
        <v>497</v>
      </c>
      <c r="O58" t="b">
        <f t="shared" si="0"/>
        <v>1</v>
      </c>
      <c r="P58" t="b">
        <f t="shared" si="1"/>
        <v>1</v>
      </c>
      <c r="Q58">
        <f t="shared" si="2"/>
        <v>0</v>
      </c>
    </row>
    <row r="59" spans="1:17">
      <c r="A59" s="307" t="s">
        <v>512</v>
      </c>
      <c r="B59" s="277" t="s">
        <v>737</v>
      </c>
      <c r="C59">
        <v>0</v>
      </c>
      <c r="G59" t="s">
        <v>512</v>
      </c>
      <c r="H59" t="s">
        <v>737</v>
      </c>
      <c r="I59">
        <v>0</v>
      </c>
      <c r="M59" t="s">
        <v>526</v>
      </c>
      <c r="O59" t="b">
        <f t="shared" si="0"/>
        <v>1</v>
      </c>
      <c r="P59" t="b">
        <f t="shared" si="1"/>
        <v>1</v>
      </c>
      <c r="Q59">
        <f t="shared" si="2"/>
        <v>0</v>
      </c>
    </row>
    <row r="60" spans="1:17">
      <c r="A60" s="307" t="s">
        <v>519</v>
      </c>
      <c r="B60" s="312" t="s">
        <v>745</v>
      </c>
      <c r="C60">
        <v>0</v>
      </c>
      <c r="G60" t="s">
        <v>519</v>
      </c>
      <c r="H60" t="s">
        <v>745</v>
      </c>
      <c r="I60">
        <v>0</v>
      </c>
      <c r="M60" t="s">
        <v>815</v>
      </c>
      <c r="O60" t="b">
        <f t="shared" si="0"/>
        <v>1</v>
      </c>
      <c r="P60" t="b">
        <f t="shared" si="1"/>
        <v>1</v>
      </c>
      <c r="Q60">
        <f t="shared" si="2"/>
        <v>0</v>
      </c>
    </row>
    <row r="61" spans="1:17">
      <c r="A61" s="307" t="s">
        <v>485</v>
      </c>
      <c r="B61" s="277"/>
      <c r="C61">
        <v>2.3245028073435096E-2</v>
      </c>
      <c r="G61" t="s">
        <v>485</v>
      </c>
      <c r="I61">
        <v>2.3245028000000001E-2</v>
      </c>
      <c r="L61" s="322">
        <v>10</v>
      </c>
      <c r="M61" t="s">
        <v>498</v>
      </c>
      <c r="O61" t="b">
        <f t="shared" si="0"/>
        <v>1</v>
      </c>
      <c r="P61" t="b">
        <f t="shared" si="1"/>
        <v>1</v>
      </c>
      <c r="Q61">
        <f t="shared" si="2"/>
        <v>7.3435094810614387E-11</v>
      </c>
    </row>
    <row r="62" spans="1:17">
      <c r="A62" s="307" t="s">
        <v>506</v>
      </c>
      <c r="B62" s="277" t="s">
        <v>731</v>
      </c>
      <c r="C62">
        <v>0.65117226943236672</v>
      </c>
      <c r="G62" t="s">
        <v>506</v>
      </c>
      <c r="H62" t="s">
        <v>731</v>
      </c>
      <c r="I62">
        <v>0.65117226737519995</v>
      </c>
      <c r="M62" t="s">
        <v>521</v>
      </c>
      <c r="O62" t="b">
        <f t="shared" si="0"/>
        <v>1</v>
      </c>
      <c r="P62" t="b">
        <f t="shared" si="1"/>
        <v>1</v>
      </c>
      <c r="Q62">
        <f t="shared" si="2"/>
        <v>2.0571667702640184E-9</v>
      </c>
    </row>
    <row r="63" spans="1:17">
      <c r="A63" s="307" t="s">
        <v>513</v>
      </c>
      <c r="B63" s="312" t="s">
        <v>739</v>
      </c>
      <c r="C63">
        <v>19.741867431876589</v>
      </c>
      <c r="G63" t="s">
        <v>513</v>
      </c>
      <c r="H63" t="s">
        <v>739</v>
      </c>
      <c r="I63">
        <v>19.741867369508601</v>
      </c>
      <c r="M63" t="s">
        <v>809</v>
      </c>
      <c r="O63" t="b">
        <f t="shared" si="0"/>
        <v>1</v>
      </c>
      <c r="P63" t="b">
        <f t="shared" si="1"/>
        <v>1</v>
      </c>
      <c r="Q63">
        <f t="shared" si="2"/>
        <v>6.23679881073258E-8</v>
      </c>
    </row>
    <row r="64" spans="1:17">
      <c r="A64" s="307" t="s">
        <v>796</v>
      </c>
      <c r="B64" s="312" t="s">
        <v>738</v>
      </c>
      <c r="C64">
        <v>16.382238915071511</v>
      </c>
      <c r="G64" t="s">
        <v>796</v>
      </c>
      <c r="H64" t="s">
        <v>738</v>
      </c>
      <c r="I64">
        <v>16.382238910155198</v>
      </c>
      <c r="M64" t="s">
        <v>527</v>
      </c>
      <c r="O64" t="b">
        <f t="shared" si="0"/>
        <v>1</v>
      </c>
      <c r="P64" t="b">
        <f t="shared" si="1"/>
        <v>1</v>
      </c>
      <c r="Q64">
        <f t="shared" si="2"/>
        <v>4.9163126902840304E-9</v>
      </c>
    </row>
    <row r="65" spans="1:17">
      <c r="A65" s="307" t="s">
        <v>483</v>
      </c>
      <c r="B65" s="277" t="s">
        <v>766</v>
      </c>
      <c r="C65">
        <v>1782854.7517096361</v>
      </c>
      <c r="G65" t="s">
        <v>483</v>
      </c>
      <c r="H65" t="s">
        <v>766</v>
      </c>
      <c r="I65">
        <v>1782854.75172849</v>
      </c>
      <c r="M65" t="s">
        <v>484</v>
      </c>
      <c r="O65" t="b">
        <f t="shared" si="0"/>
        <v>1</v>
      </c>
      <c r="P65" t="b">
        <f t="shared" si="1"/>
        <v>1</v>
      </c>
      <c r="Q65">
        <f t="shared" si="2"/>
        <v>-1.8853927031159401E-5</v>
      </c>
    </row>
    <row r="66" spans="1:17">
      <c r="A66" s="307" t="s">
        <v>664</v>
      </c>
      <c r="B66" s="277"/>
      <c r="C66">
        <v>1055.05585262</v>
      </c>
      <c r="G66" t="s">
        <v>664</v>
      </c>
      <c r="I66">
        <v>1055.0558530000001</v>
      </c>
      <c r="L66" s="322">
        <v>10</v>
      </c>
      <c r="M66" t="s">
        <v>666</v>
      </c>
      <c r="O66" t="b">
        <f t="shared" ref="O66:O111" si="3">EXACT(A66,G66)</f>
        <v>1</v>
      </c>
      <c r="P66" t="b">
        <f t="shared" ref="P66:P111" si="4">EXACT(B66,H66)</f>
        <v>1</v>
      </c>
      <c r="Q66">
        <f t="shared" ref="Q66:Q111" si="5">C66-I66</f>
        <v>-3.8000007407390513E-7</v>
      </c>
    </row>
    <row r="67" spans="1:17">
      <c r="A67" s="307" t="s">
        <v>430</v>
      </c>
      <c r="B67" s="277"/>
      <c r="C67">
        <v>0.02</v>
      </c>
      <c r="G67" t="s">
        <v>430</v>
      </c>
      <c r="I67">
        <v>0.02</v>
      </c>
      <c r="L67" s="322">
        <v>10</v>
      </c>
      <c r="M67" t="s">
        <v>431</v>
      </c>
      <c r="O67" t="b">
        <f t="shared" si="3"/>
        <v>1</v>
      </c>
      <c r="P67" t="b">
        <f t="shared" si="4"/>
        <v>1</v>
      </c>
      <c r="Q67">
        <f t="shared" si="5"/>
        <v>0</v>
      </c>
    </row>
    <row r="68" spans="1:17">
      <c r="A68" s="307" t="s">
        <v>444</v>
      </c>
      <c r="B68" s="277" t="s">
        <v>747</v>
      </c>
      <c r="C68">
        <v>0.56026799999999999</v>
      </c>
      <c r="G68" t="s">
        <v>444</v>
      </c>
      <c r="H68" t="s">
        <v>747</v>
      </c>
      <c r="I68">
        <v>0.56026799999999999</v>
      </c>
      <c r="M68" t="s">
        <v>445</v>
      </c>
      <c r="O68" t="b">
        <f t="shared" si="3"/>
        <v>1</v>
      </c>
      <c r="P68" t="b">
        <f t="shared" si="4"/>
        <v>1</v>
      </c>
      <c r="Q68">
        <f t="shared" si="5"/>
        <v>0</v>
      </c>
    </row>
    <row r="69" spans="1:17">
      <c r="A69" s="307" t="s">
        <v>460</v>
      </c>
      <c r="B69" s="277" t="s">
        <v>755</v>
      </c>
      <c r="C69">
        <v>16.985883922797242</v>
      </c>
      <c r="G69" t="s">
        <v>460</v>
      </c>
      <c r="H69" t="s">
        <v>755</v>
      </c>
      <c r="I69">
        <v>16.9858839227972</v>
      </c>
      <c r="M69" t="s">
        <v>818</v>
      </c>
      <c r="O69" t="b">
        <f t="shared" si="3"/>
        <v>1</v>
      </c>
      <c r="P69" t="b">
        <f t="shared" si="4"/>
        <v>1</v>
      </c>
      <c r="Q69">
        <f t="shared" si="5"/>
        <v>4.2632564145606011E-14</v>
      </c>
    </row>
    <row r="70" spans="1:17">
      <c r="A70" s="307" t="s">
        <v>643</v>
      </c>
      <c r="B70" s="277"/>
      <c r="C70">
        <v>7074.5</v>
      </c>
      <c r="G70" t="s">
        <v>643</v>
      </c>
      <c r="I70">
        <v>7074.5</v>
      </c>
      <c r="J70">
        <v>6050.79054</v>
      </c>
      <c r="K70">
        <v>8046.5</v>
      </c>
      <c r="L70" s="322">
        <v>10</v>
      </c>
      <c r="M70" t="s">
        <v>826</v>
      </c>
      <c r="O70" t="b">
        <f t="shared" si="3"/>
        <v>1</v>
      </c>
      <c r="P70" t="b">
        <f t="shared" si="4"/>
        <v>1</v>
      </c>
      <c r="Q70">
        <f t="shared" si="5"/>
        <v>0</v>
      </c>
    </row>
    <row r="71" spans="1:17">
      <c r="A71" s="276" t="s">
        <v>660</v>
      </c>
      <c r="B71" s="277"/>
      <c r="C71">
        <v>1</v>
      </c>
      <c r="G71" t="s">
        <v>660</v>
      </c>
      <c r="I71">
        <v>1</v>
      </c>
      <c r="L71" s="322">
        <v>10</v>
      </c>
      <c r="M71" t="s">
        <v>661</v>
      </c>
      <c r="O71" t="b">
        <f t="shared" si="3"/>
        <v>1</v>
      </c>
      <c r="P71" t="b">
        <f t="shared" si="4"/>
        <v>1</v>
      </c>
      <c r="Q71">
        <f t="shared" si="5"/>
        <v>0</v>
      </c>
    </row>
    <row r="72" spans="1:17">
      <c r="A72" s="307" t="s">
        <v>650</v>
      </c>
      <c r="B72" s="277"/>
      <c r="C72">
        <v>10370</v>
      </c>
      <c r="G72" t="s">
        <v>650</v>
      </c>
      <c r="I72">
        <v>10370</v>
      </c>
      <c r="J72">
        <v>7025</v>
      </c>
      <c r="K72">
        <v>10370</v>
      </c>
      <c r="L72" s="322">
        <v>10</v>
      </c>
      <c r="M72" t="s">
        <v>829</v>
      </c>
      <c r="O72" t="b">
        <f t="shared" si="3"/>
        <v>1</v>
      </c>
      <c r="P72" t="b">
        <f t="shared" si="4"/>
        <v>1</v>
      </c>
      <c r="Q72">
        <f t="shared" si="5"/>
        <v>0</v>
      </c>
    </row>
    <row r="73" spans="1:17" ht="26.25">
      <c r="A73" s="307" t="s">
        <v>667</v>
      </c>
      <c r="B73" s="277" t="s">
        <v>781</v>
      </c>
      <c r="C73">
        <v>0.20346912635018821</v>
      </c>
      <c r="G73" t="s">
        <v>667</v>
      </c>
      <c r="H73" t="s">
        <v>781</v>
      </c>
      <c r="I73">
        <v>0.20346912641291501</v>
      </c>
      <c r="M73" t="s">
        <v>832</v>
      </c>
      <c r="O73" t="b">
        <f t="shared" si="3"/>
        <v>1</v>
      </c>
      <c r="P73" t="b">
        <f t="shared" si="4"/>
        <v>1</v>
      </c>
      <c r="Q73">
        <f t="shared" si="5"/>
        <v>-6.2726795979628491E-11</v>
      </c>
    </row>
    <row r="74" spans="1:17" ht="26.25">
      <c r="A74" s="307" t="s">
        <v>669</v>
      </c>
      <c r="B74" s="277" t="s">
        <v>782</v>
      </c>
      <c r="C74">
        <v>0</v>
      </c>
      <c r="G74" t="s">
        <v>669</v>
      </c>
      <c r="H74" t="s">
        <v>782</v>
      </c>
      <c r="I74">
        <v>0</v>
      </c>
      <c r="M74" t="s">
        <v>833</v>
      </c>
      <c r="O74" t="b">
        <f t="shared" si="3"/>
        <v>1</v>
      </c>
      <c r="P74" t="b">
        <f t="shared" si="4"/>
        <v>1</v>
      </c>
      <c r="Q74">
        <f t="shared" si="5"/>
        <v>0</v>
      </c>
    </row>
    <row r="75" spans="1:17">
      <c r="A75" s="315" t="s">
        <v>662</v>
      </c>
      <c r="B75" s="45"/>
      <c r="C75">
        <v>0</v>
      </c>
      <c r="G75" t="s">
        <v>662</v>
      </c>
      <c r="I75">
        <v>0</v>
      </c>
      <c r="L75" s="322">
        <v>10</v>
      </c>
      <c r="M75" t="s">
        <v>831</v>
      </c>
      <c r="O75" t="b">
        <f t="shared" si="3"/>
        <v>1</v>
      </c>
      <c r="P75" t="b">
        <f t="shared" si="4"/>
        <v>1</v>
      </c>
      <c r="Q75">
        <f t="shared" si="5"/>
        <v>0</v>
      </c>
    </row>
    <row r="76" spans="1:17" ht="26.25">
      <c r="A76" s="315" t="s">
        <v>673</v>
      </c>
      <c r="B76" s="45" t="s">
        <v>785</v>
      </c>
      <c r="C76">
        <v>0</v>
      </c>
      <c r="G76" t="s">
        <v>673</v>
      </c>
      <c r="H76" t="s">
        <v>785</v>
      </c>
      <c r="I76">
        <v>0</v>
      </c>
      <c r="M76" t="s">
        <v>836</v>
      </c>
      <c r="O76" t="b">
        <f t="shared" si="3"/>
        <v>1</v>
      </c>
      <c r="P76" t="b">
        <f t="shared" si="4"/>
        <v>1</v>
      </c>
      <c r="Q76">
        <f t="shared" si="5"/>
        <v>0</v>
      </c>
    </row>
    <row r="77" spans="1:17">
      <c r="A77" s="315" t="s">
        <v>674</v>
      </c>
      <c r="B77" s="93" t="s">
        <v>786</v>
      </c>
      <c r="C77">
        <v>0</v>
      </c>
      <c r="G77" t="s">
        <v>674</v>
      </c>
      <c r="H77" t="s">
        <v>786</v>
      </c>
      <c r="I77">
        <v>0</v>
      </c>
      <c r="M77" t="s">
        <v>837</v>
      </c>
      <c r="O77" t="b">
        <f t="shared" si="3"/>
        <v>1</v>
      </c>
      <c r="P77" t="b">
        <f t="shared" si="4"/>
        <v>1</v>
      </c>
      <c r="Q77">
        <f t="shared" si="5"/>
        <v>0</v>
      </c>
    </row>
    <row r="78" spans="1:17">
      <c r="A78" s="44" t="s">
        <v>550</v>
      </c>
      <c r="B78" s="45"/>
      <c r="C78">
        <v>125</v>
      </c>
      <c r="G78" t="s">
        <v>550</v>
      </c>
      <c r="I78">
        <v>125</v>
      </c>
      <c r="L78" s="322">
        <v>10</v>
      </c>
      <c r="M78" t="s">
        <v>553</v>
      </c>
      <c r="O78" t="b">
        <f t="shared" si="3"/>
        <v>1</v>
      </c>
      <c r="P78" t="b">
        <f t="shared" si="4"/>
        <v>1</v>
      </c>
      <c r="Q78">
        <f t="shared" si="5"/>
        <v>0</v>
      </c>
    </row>
    <row r="79" spans="1:17">
      <c r="A79" s="315" t="s">
        <v>555</v>
      </c>
      <c r="B79" s="45"/>
      <c r="C79">
        <v>2</v>
      </c>
      <c r="G79" t="s">
        <v>555</v>
      </c>
      <c r="I79">
        <v>2</v>
      </c>
      <c r="L79" s="322">
        <v>10</v>
      </c>
      <c r="M79" t="s">
        <v>825</v>
      </c>
      <c r="O79" t="b">
        <f t="shared" si="3"/>
        <v>1</v>
      </c>
      <c r="P79" t="b">
        <f t="shared" si="4"/>
        <v>1</v>
      </c>
      <c r="Q79">
        <f t="shared" si="5"/>
        <v>0</v>
      </c>
    </row>
    <row r="80" spans="1:17">
      <c r="A80" s="315" t="s">
        <v>417</v>
      </c>
      <c r="B80" s="45" t="s">
        <v>838</v>
      </c>
      <c r="C80">
        <v>18</v>
      </c>
      <c r="G80" t="s">
        <v>417</v>
      </c>
      <c r="H80" s="277" t="s">
        <v>838</v>
      </c>
      <c r="I80">
        <v>18</v>
      </c>
      <c r="L80" s="322">
        <v>10</v>
      </c>
      <c r="M80" t="s">
        <v>419</v>
      </c>
      <c r="O80" t="b">
        <f t="shared" si="3"/>
        <v>1</v>
      </c>
      <c r="P80" t="b">
        <f t="shared" si="4"/>
        <v>1</v>
      </c>
      <c r="Q80">
        <f t="shared" si="5"/>
        <v>0</v>
      </c>
    </row>
    <row r="81" spans="1:17">
      <c r="A81" s="315" t="s">
        <v>479</v>
      </c>
      <c r="B81" s="45" t="s">
        <v>764</v>
      </c>
      <c r="C81">
        <v>208947.6987521238</v>
      </c>
      <c r="G81" t="s">
        <v>479</v>
      </c>
      <c r="H81" t="s">
        <v>764</v>
      </c>
      <c r="I81">
        <v>208947.69876647799</v>
      </c>
      <c r="M81" t="s">
        <v>480</v>
      </c>
      <c r="O81" t="b">
        <f t="shared" si="3"/>
        <v>1</v>
      </c>
      <c r="P81" t="b">
        <f t="shared" si="4"/>
        <v>1</v>
      </c>
      <c r="Q81">
        <f t="shared" si="5"/>
        <v>-1.4354183804243803E-5</v>
      </c>
    </row>
    <row r="82" spans="1:17">
      <c r="A82" s="315" t="s">
        <v>407</v>
      </c>
      <c r="B82" s="45"/>
      <c r="C82">
        <v>0.215</v>
      </c>
      <c r="G82" t="s">
        <v>407</v>
      </c>
      <c r="I82">
        <v>0.215</v>
      </c>
      <c r="J82">
        <v>0.1</v>
      </c>
      <c r="K82">
        <v>1</v>
      </c>
      <c r="L82" s="322">
        <v>10</v>
      </c>
      <c r="M82" t="s">
        <v>806</v>
      </c>
      <c r="O82" t="b">
        <f t="shared" si="3"/>
        <v>1</v>
      </c>
      <c r="P82" t="b">
        <f t="shared" si="4"/>
        <v>1</v>
      </c>
      <c r="Q82">
        <f t="shared" si="5"/>
        <v>0</v>
      </c>
    </row>
    <row r="83" spans="1:17">
      <c r="A83" s="315" t="s">
        <v>557</v>
      </c>
      <c r="B83" s="93" t="s">
        <v>769</v>
      </c>
      <c r="C83">
        <v>2.3117093242879823</v>
      </c>
      <c r="G83" t="s">
        <v>557</v>
      </c>
      <c r="H83" t="s">
        <v>769</v>
      </c>
      <c r="I83">
        <v>2.31170932428798</v>
      </c>
      <c r="M83" t="s">
        <v>675</v>
      </c>
      <c r="O83" t="b">
        <f t="shared" si="3"/>
        <v>1</v>
      </c>
      <c r="P83" t="b">
        <f t="shared" si="4"/>
        <v>1</v>
      </c>
      <c r="Q83">
        <f t="shared" si="5"/>
        <v>0</v>
      </c>
    </row>
    <row r="84" spans="1:17">
      <c r="A84" s="315" t="s">
        <v>656</v>
      </c>
      <c r="B84" s="45"/>
      <c r="C84">
        <v>0</v>
      </c>
      <c r="G84" t="s">
        <v>656</v>
      </c>
      <c r="I84">
        <v>0</v>
      </c>
      <c r="L84" s="322">
        <v>10</v>
      </c>
      <c r="M84" t="s">
        <v>830</v>
      </c>
      <c r="O84" t="b">
        <f t="shared" si="3"/>
        <v>1</v>
      </c>
      <c r="P84" t="b">
        <f t="shared" si="4"/>
        <v>1</v>
      </c>
      <c r="Q84">
        <f t="shared" si="5"/>
        <v>0</v>
      </c>
    </row>
    <row r="85" spans="1:17">
      <c r="A85" s="315" t="s">
        <v>654</v>
      </c>
      <c r="B85" s="45"/>
      <c r="C85">
        <v>0</v>
      </c>
      <c r="G85" t="s">
        <v>654</v>
      </c>
      <c r="I85">
        <v>0</v>
      </c>
      <c r="L85" s="322">
        <v>10</v>
      </c>
      <c r="M85" t="s">
        <v>830</v>
      </c>
      <c r="O85" t="b">
        <f t="shared" si="3"/>
        <v>1</v>
      </c>
      <c r="P85" t="b">
        <f t="shared" si="4"/>
        <v>1</v>
      </c>
      <c r="Q85">
        <f t="shared" si="5"/>
        <v>0</v>
      </c>
    </row>
    <row r="86" spans="1:17">
      <c r="A86" s="44" t="s">
        <v>652</v>
      </c>
      <c r="B86" s="45"/>
      <c r="C86">
        <v>1</v>
      </c>
      <c r="G86" t="s">
        <v>652</v>
      </c>
      <c r="I86">
        <v>1</v>
      </c>
      <c r="L86" s="322">
        <v>10</v>
      </c>
      <c r="M86" t="s">
        <v>830</v>
      </c>
      <c r="O86" t="b">
        <f t="shared" si="3"/>
        <v>1</v>
      </c>
      <c r="P86" t="b">
        <f t="shared" si="4"/>
        <v>1</v>
      </c>
      <c r="Q86">
        <f t="shared" si="5"/>
        <v>0</v>
      </c>
    </row>
    <row r="87" spans="1:17">
      <c r="A87" s="315" t="s">
        <v>658</v>
      </c>
      <c r="B87" s="45"/>
      <c r="C87">
        <v>0</v>
      </c>
      <c r="G87" t="s">
        <v>658</v>
      </c>
      <c r="I87">
        <v>0</v>
      </c>
      <c r="L87" s="322">
        <v>10</v>
      </c>
      <c r="M87" t="s">
        <v>830</v>
      </c>
      <c r="O87" t="b">
        <f t="shared" si="3"/>
        <v>1</v>
      </c>
      <c r="P87" t="b">
        <f t="shared" si="4"/>
        <v>1</v>
      </c>
      <c r="Q87">
        <f t="shared" si="5"/>
        <v>0</v>
      </c>
    </row>
    <row r="88" spans="1:17">
      <c r="A88" s="315" t="s">
        <v>420</v>
      </c>
      <c r="B88" s="45"/>
      <c r="C88">
        <v>3</v>
      </c>
      <c r="G88" t="s">
        <v>420</v>
      </c>
      <c r="I88">
        <v>3</v>
      </c>
      <c r="L88" s="322">
        <v>10</v>
      </c>
      <c r="M88" t="s">
        <v>421</v>
      </c>
      <c r="O88" t="b">
        <f t="shared" si="3"/>
        <v>1</v>
      </c>
      <c r="P88" t="b">
        <f t="shared" si="4"/>
        <v>1</v>
      </c>
      <c r="Q88">
        <f t="shared" si="5"/>
        <v>0</v>
      </c>
    </row>
    <row r="89" spans="1:17">
      <c r="A89" s="315" t="s">
        <v>391</v>
      </c>
      <c r="B89" s="93"/>
      <c r="C89">
        <v>1500</v>
      </c>
      <c r="G89" t="s">
        <v>391</v>
      </c>
      <c r="I89">
        <v>1500</v>
      </c>
      <c r="L89" s="322">
        <v>10</v>
      </c>
      <c r="M89" t="s">
        <v>803</v>
      </c>
      <c r="O89" t="b">
        <f t="shared" si="3"/>
        <v>1</v>
      </c>
      <c r="P89" t="b">
        <f t="shared" si="4"/>
        <v>1</v>
      </c>
      <c r="Q89">
        <f t="shared" si="5"/>
        <v>0</v>
      </c>
    </row>
    <row r="90" spans="1:17">
      <c r="A90" s="315" t="s">
        <v>559</v>
      </c>
      <c r="B90" s="45"/>
      <c r="C90">
        <v>1.3311805561369727</v>
      </c>
      <c r="G90" t="s">
        <v>559</v>
      </c>
      <c r="I90">
        <v>1.3311805560000001</v>
      </c>
      <c r="J90">
        <v>1.2</v>
      </c>
      <c r="K90">
        <v>1.45</v>
      </c>
      <c r="L90" s="322">
        <v>10</v>
      </c>
      <c r="M90" t="s">
        <v>676</v>
      </c>
      <c r="O90" t="b">
        <f t="shared" si="3"/>
        <v>1</v>
      </c>
      <c r="P90" t="b">
        <f t="shared" si="4"/>
        <v>1</v>
      </c>
      <c r="Q90">
        <f t="shared" si="5"/>
        <v>1.3697265544010406E-10</v>
      </c>
    </row>
    <row r="91" spans="1:17">
      <c r="A91" s="315" t="s">
        <v>402</v>
      </c>
      <c r="B91" s="93"/>
      <c r="C91">
        <v>7240</v>
      </c>
      <c r="G91" t="s">
        <v>402</v>
      </c>
      <c r="I91">
        <v>7240</v>
      </c>
      <c r="J91">
        <v>3216</v>
      </c>
      <c r="K91">
        <v>10398</v>
      </c>
      <c r="L91" s="322">
        <v>10</v>
      </c>
      <c r="M91" t="s">
        <v>805</v>
      </c>
      <c r="O91" t="b">
        <f t="shared" si="3"/>
        <v>1</v>
      </c>
      <c r="P91" t="b">
        <f t="shared" si="4"/>
        <v>1</v>
      </c>
      <c r="Q91">
        <f t="shared" si="5"/>
        <v>0</v>
      </c>
    </row>
    <row r="92" spans="1:17">
      <c r="A92" s="315" t="s">
        <v>408</v>
      </c>
      <c r="B92" s="93" t="s">
        <v>409</v>
      </c>
      <c r="C92">
        <v>1556.6</v>
      </c>
      <c r="G92" t="s">
        <v>408</v>
      </c>
      <c r="H92" t="s">
        <v>409</v>
      </c>
      <c r="I92">
        <v>1556.6</v>
      </c>
      <c r="M92" t="s">
        <v>411</v>
      </c>
      <c r="O92" t="b">
        <f t="shared" si="3"/>
        <v>1</v>
      </c>
      <c r="P92" t="b">
        <f t="shared" si="4"/>
        <v>1</v>
      </c>
      <c r="Q92">
        <f t="shared" si="5"/>
        <v>0</v>
      </c>
    </row>
    <row r="93" spans="1:17">
      <c r="A93" s="315" t="s">
        <v>422</v>
      </c>
      <c r="B93" s="45" t="s">
        <v>423</v>
      </c>
      <c r="C93">
        <v>0.98326642709715451</v>
      </c>
      <c r="G93" t="s">
        <v>422</v>
      </c>
      <c r="H93" t="s">
        <v>423</v>
      </c>
      <c r="I93">
        <v>0.98326642709715495</v>
      </c>
      <c r="M93" t="s">
        <v>424</v>
      </c>
      <c r="O93" t="b">
        <f t="shared" si="3"/>
        <v>1</v>
      </c>
      <c r="P93" t="b">
        <f t="shared" si="4"/>
        <v>1</v>
      </c>
      <c r="Q93">
        <f t="shared" si="5"/>
        <v>0</v>
      </c>
    </row>
    <row r="94" spans="1:17">
      <c r="A94" s="307" t="s">
        <v>379</v>
      </c>
      <c r="B94" s="277" t="s">
        <v>380</v>
      </c>
      <c r="C94">
        <v>0.87616099071207432</v>
      </c>
      <c r="G94" t="s">
        <v>379</v>
      </c>
      <c r="H94" t="s">
        <v>380</v>
      </c>
      <c r="I94">
        <v>0.87616099071207398</v>
      </c>
      <c r="M94" t="s">
        <v>381</v>
      </c>
      <c r="O94" t="b">
        <f t="shared" si="3"/>
        <v>1</v>
      </c>
      <c r="P94" t="b">
        <f t="shared" si="4"/>
        <v>1</v>
      </c>
      <c r="Q94">
        <f t="shared" si="5"/>
        <v>0</v>
      </c>
    </row>
    <row r="95" spans="1:17">
      <c r="A95" s="315" t="s">
        <v>399</v>
      </c>
      <c r="B95" s="45" t="s">
        <v>400</v>
      </c>
      <c r="C95">
        <v>1.0034749999999999</v>
      </c>
      <c r="G95" t="s">
        <v>399</v>
      </c>
      <c r="H95" t="s">
        <v>400</v>
      </c>
      <c r="I95">
        <v>1.0034749999999999</v>
      </c>
      <c r="M95" t="s">
        <v>401</v>
      </c>
      <c r="O95" t="b">
        <f t="shared" si="3"/>
        <v>1</v>
      </c>
      <c r="P95" t="b">
        <f t="shared" si="4"/>
        <v>1</v>
      </c>
      <c r="Q95">
        <f t="shared" si="5"/>
        <v>0</v>
      </c>
    </row>
    <row r="96" spans="1:17">
      <c r="A96" s="315" t="s">
        <v>558</v>
      </c>
      <c r="B96" s="45"/>
      <c r="C96">
        <v>196.7</v>
      </c>
      <c r="G96" t="s">
        <v>558</v>
      </c>
      <c r="I96">
        <v>196.7</v>
      </c>
      <c r="L96" s="322">
        <v>10</v>
      </c>
      <c r="M96" t="s">
        <v>677</v>
      </c>
      <c r="O96" t="b">
        <f t="shared" si="3"/>
        <v>1</v>
      </c>
      <c r="P96" t="b">
        <f t="shared" si="4"/>
        <v>1</v>
      </c>
      <c r="Q96">
        <f t="shared" si="5"/>
        <v>0</v>
      </c>
    </row>
    <row r="97" spans="1:17" ht="39">
      <c r="A97" s="315" t="s">
        <v>568</v>
      </c>
      <c r="B97" s="45" t="s">
        <v>774</v>
      </c>
      <c r="C97">
        <v>52.358596127138206</v>
      </c>
      <c r="G97" t="s">
        <v>568</v>
      </c>
      <c r="H97" t="s">
        <v>791</v>
      </c>
      <c r="I97">
        <v>52.358596125383599</v>
      </c>
      <c r="M97" t="s">
        <v>682</v>
      </c>
      <c r="O97" t="b">
        <f t="shared" si="3"/>
        <v>1</v>
      </c>
      <c r="P97" t="b">
        <f t="shared" si="4"/>
        <v>0</v>
      </c>
      <c r="Q97">
        <f t="shared" si="5"/>
        <v>1.7546071262586338E-9</v>
      </c>
    </row>
    <row r="98" spans="1:17" ht="39">
      <c r="A98" s="315" t="s">
        <v>560</v>
      </c>
      <c r="B98" s="45" t="s">
        <v>770</v>
      </c>
      <c r="C98">
        <v>227.14524285414981</v>
      </c>
      <c r="G98" t="s">
        <v>560</v>
      </c>
      <c r="H98" t="s">
        <v>790</v>
      </c>
      <c r="I98">
        <v>227.14524284366999</v>
      </c>
      <c r="M98" t="s">
        <v>678</v>
      </c>
      <c r="O98" t="b">
        <f t="shared" si="3"/>
        <v>1</v>
      </c>
      <c r="P98" t="b">
        <f t="shared" si="4"/>
        <v>0</v>
      </c>
      <c r="Q98">
        <f t="shared" si="5"/>
        <v>1.0479823231435148E-8</v>
      </c>
    </row>
    <row r="99" spans="1:17" ht="39">
      <c r="A99" s="315" t="s">
        <v>569</v>
      </c>
      <c r="B99" s="45" t="s">
        <v>775</v>
      </c>
      <c r="C99">
        <v>54.785990941502554</v>
      </c>
      <c r="G99" t="s">
        <v>569</v>
      </c>
      <c r="H99" t="s">
        <v>792</v>
      </c>
      <c r="I99">
        <v>54.785990938831098</v>
      </c>
      <c r="M99" t="s">
        <v>683</v>
      </c>
      <c r="O99" t="b">
        <f t="shared" si="3"/>
        <v>1</v>
      </c>
      <c r="P99" t="b">
        <f t="shared" si="4"/>
        <v>0</v>
      </c>
      <c r="Q99">
        <f t="shared" si="5"/>
        <v>2.6714559453466791E-9</v>
      </c>
    </row>
    <row r="100" spans="1:17" ht="39">
      <c r="A100" s="315" t="s">
        <v>561</v>
      </c>
      <c r="B100" s="45" t="s">
        <v>771</v>
      </c>
      <c r="C100">
        <v>0</v>
      </c>
      <c r="G100" t="s">
        <v>561</v>
      </c>
      <c r="H100" t="s">
        <v>839</v>
      </c>
      <c r="I100">
        <v>0</v>
      </c>
      <c r="M100" t="s">
        <v>679</v>
      </c>
      <c r="O100" t="b">
        <f t="shared" si="3"/>
        <v>1</v>
      </c>
      <c r="P100" t="b">
        <f t="shared" si="4"/>
        <v>0</v>
      </c>
      <c r="Q100">
        <f t="shared" si="5"/>
        <v>0</v>
      </c>
    </row>
    <row r="101" spans="1:17" ht="39">
      <c r="A101" s="315" t="s">
        <v>570</v>
      </c>
      <c r="B101" s="45" t="s">
        <v>776</v>
      </c>
      <c r="C101">
        <v>0</v>
      </c>
      <c r="G101" t="s">
        <v>570</v>
      </c>
      <c r="H101" t="s">
        <v>793</v>
      </c>
      <c r="I101">
        <v>0</v>
      </c>
      <c r="M101" t="s">
        <v>684</v>
      </c>
      <c r="O101" t="b">
        <f t="shared" si="3"/>
        <v>1</v>
      </c>
      <c r="P101" t="b">
        <f t="shared" si="4"/>
        <v>0</v>
      </c>
      <c r="Q101">
        <f t="shared" si="5"/>
        <v>0</v>
      </c>
    </row>
    <row r="102" spans="1:17" ht="39">
      <c r="A102" s="315" t="s">
        <v>562</v>
      </c>
      <c r="B102" s="45" t="s">
        <v>772</v>
      </c>
      <c r="C102">
        <v>0</v>
      </c>
      <c r="G102" t="s">
        <v>562</v>
      </c>
      <c r="H102" t="s">
        <v>840</v>
      </c>
      <c r="I102">
        <v>0</v>
      </c>
      <c r="M102" t="s">
        <v>680</v>
      </c>
      <c r="O102" t="b">
        <f t="shared" si="3"/>
        <v>1</v>
      </c>
      <c r="P102" t="b">
        <f t="shared" si="4"/>
        <v>0</v>
      </c>
      <c r="Q102">
        <f t="shared" si="5"/>
        <v>0</v>
      </c>
    </row>
    <row r="103" spans="1:17">
      <c r="A103" s="315" t="s">
        <v>571</v>
      </c>
      <c r="B103" s="93" t="s">
        <v>777</v>
      </c>
      <c r="C103">
        <v>0</v>
      </c>
      <c r="G103" t="s">
        <v>571</v>
      </c>
      <c r="H103" t="s">
        <v>794</v>
      </c>
      <c r="I103">
        <v>0</v>
      </c>
      <c r="M103" t="s">
        <v>685</v>
      </c>
      <c r="O103" t="b">
        <f t="shared" si="3"/>
        <v>1</v>
      </c>
      <c r="P103" t="b">
        <f t="shared" si="4"/>
        <v>0</v>
      </c>
      <c r="Q103">
        <f t="shared" si="5"/>
        <v>0</v>
      </c>
    </row>
    <row r="104" spans="1:17" ht="39">
      <c r="A104" s="315" t="s">
        <v>563</v>
      </c>
      <c r="B104" s="45" t="s">
        <v>773</v>
      </c>
      <c r="C104">
        <v>0</v>
      </c>
      <c r="G104" t="s">
        <v>563</v>
      </c>
      <c r="H104" t="s">
        <v>841</v>
      </c>
      <c r="I104">
        <v>0</v>
      </c>
      <c r="M104" t="s">
        <v>681</v>
      </c>
      <c r="O104" t="b">
        <f t="shared" si="3"/>
        <v>1</v>
      </c>
      <c r="P104" t="b">
        <f t="shared" si="4"/>
        <v>0</v>
      </c>
      <c r="Q104">
        <f t="shared" si="5"/>
        <v>0</v>
      </c>
    </row>
    <row r="105" spans="1:17">
      <c r="A105" s="315" t="s">
        <v>572</v>
      </c>
      <c r="B105" s="93" t="s">
        <v>778</v>
      </c>
      <c r="C105">
        <v>0</v>
      </c>
      <c r="G105" t="s">
        <v>572</v>
      </c>
      <c r="H105" t="s">
        <v>795</v>
      </c>
      <c r="I105">
        <v>0</v>
      </c>
      <c r="M105" t="s">
        <v>686</v>
      </c>
      <c r="O105" t="b">
        <f t="shared" si="3"/>
        <v>1</v>
      </c>
      <c r="P105" t="b">
        <f t="shared" si="4"/>
        <v>0</v>
      </c>
      <c r="Q105">
        <f t="shared" si="5"/>
        <v>0</v>
      </c>
    </row>
    <row r="106" spans="1:17">
      <c r="A106" s="315" t="s">
        <v>396</v>
      </c>
      <c r="B106" s="45"/>
      <c r="C106">
        <v>5000</v>
      </c>
      <c r="G106" t="s">
        <v>396</v>
      </c>
      <c r="I106">
        <v>5000</v>
      </c>
      <c r="L106" s="322">
        <v>10</v>
      </c>
      <c r="M106" t="s">
        <v>398</v>
      </c>
      <c r="O106" t="b">
        <f t="shared" si="3"/>
        <v>1</v>
      </c>
      <c r="P106" t="b">
        <f t="shared" si="4"/>
        <v>1</v>
      </c>
      <c r="Q106">
        <f t="shared" si="5"/>
        <v>0</v>
      </c>
    </row>
    <row r="107" spans="1:17">
      <c r="A107" s="315" t="s">
        <v>573</v>
      </c>
      <c r="B107" s="45" t="s">
        <v>779</v>
      </c>
      <c r="C107">
        <v>107.14458706864076</v>
      </c>
      <c r="G107" t="s">
        <v>573</v>
      </c>
      <c r="H107" t="s">
        <v>779</v>
      </c>
      <c r="I107">
        <v>107.144587064215</v>
      </c>
      <c r="M107" t="s">
        <v>687</v>
      </c>
      <c r="O107" t="b">
        <f t="shared" si="3"/>
        <v>1</v>
      </c>
      <c r="P107" t="b">
        <f t="shared" si="4"/>
        <v>1</v>
      </c>
      <c r="Q107">
        <f t="shared" si="5"/>
        <v>4.425757538228936E-9</v>
      </c>
    </row>
    <row r="108" spans="1:17">
      <c r="A108" s="44" t="s">
        <v>481</v>
      </c>
      <c r="B108" s="45" t="s">
        <v>765</v>
      </c>
      <c r="C108">
        <v>1268341.2174341043</v>
      </c>
      <c r="G108" t="s">
        <v>481</v>
      </c>
      <c r="H108" t="s">
        <v>765</v>
      </c>
      <c r="I108">
        <v>1268341.21752124</v>
      </c>
      <c r="M108" t="s">
        <v>482</v>
      </c>
      <c r="O108" t="b">
        <f t="shared" si="3"/>
        <v>1</v>
      </c>
      <c r="P108" t="b">
        <f t="shared" si="4"/>
        <v>1</v>
      </c>
      <c r="Q108">
        <f t="shared" si="5"/>
        <v>-8.7135704234242439E-5</v>
      </c>
    </row>
    <row r="109" spans="1:17">
      <c r="A109" s="315" t="s">
        <v>405</v>
      </c>
      <c r="B109" s="45"/>
      <c r="C109">
        <v>2.7749999999999999</v>
      </c>
      <c r="G109" t="s">
        <v>405</v>
      </c>
      <c r="I109">
        <v>2.7749999999999999</v>
      </c>
      <c r="J109">
        <v>2</v>
      </c>
      <c r="K109">
        <v>3.5</v>
      </c>
      <c r="L109" s="322">
        <v>10</v>
      </c>
      <c r="M109" t="s">
        <v>406</v>
      </c>
      <c r="O109" t="b">
        <f t="shared" si="3"/>
        <v>1</v>
      </c>
      <c r="P109" t="b">
        <f t="shared" si="4"/>
        <v>1</v>
      </c>
      <c r="Q109">
        <f t="shared" si="5"/>
        <v>0</v>
      </c>
    </row>
    <row r="110" spans="1:17">
      <c r="A110" s="315" t="s">
        <v>412</v>
      </c>
      <c r="B110" s="45"/>
      <c r="C110">
        <v>1000</v>
      </c>
      <c r="G110" t="s">
        <v>412</v>
      </c>
      <c r="I110">
        <v>1000</v>
      </c>
      <c r="L110" s="322">
        <v>10</v>
      </c>
      <c r="M110" t="s">
        <v>413</v>
      </c>
      <c r="O110" t="b">
        <f t="shared" si="3"/>
        <v>1</v>
      </c>
      <c r="P110" t="b">
        <f t="shared" si="4"/>
        <v>1</v>
      </c>
      <c r="Q110">
        <f t="shared" si="5"/>
        <v>0</v>
      </c>
    </row>
    <row r="111" spans="1:17">
      <c r="A111" s="315" t="s">
        <v>394</v>
      </c>
      <c r="B111" s="45"/>
      <c r="C111">
        <v>5.3</v>
      </c>
      <c r="G111" t="s">
        <v>394</v>
      </c>
      <c r="I111">
        <v>5.3</v>
      </c>
      <c r="J111">
        <v>1</v>
      </c>
      <c r="K111">
        <v>15</v>
      </c>
      <c r="L111" s="322">
        <v>10</v>
      </c>
      <c r="M111" t="s">
        <v>804</v>
      </c>
      <c r="O111" t="b">
        <f t="shared" si="3"/>
        <v>1</v>
      </c>
      <c r="P111" t="b">
        <f t="shared" si="4"/>
        <v>1</v>
      </c>
      <c r="Q111">
        <f t="shared" si="5"/>
        <v>0</v>
      </c>
    </row>
  </sheetData>
  <sortState ref="A1:C111">
    <sortCondition ref="A1:A11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Q14" activeCellId="1" sqref="A1 Q14"/>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220"/>
  <sheetViews>
    <sheetView showGridLines="0" topLeftCell="A124" zoomScaleNormal="100" zoomScalePageLayoutView="40" workbookViewId="0">
      <selection activeCell="J152" sqref="J152"/>
    </sheetView>
  </sheetViews>
  <sheetFormatPr defaultColWidth="9.140625" defaultRowHeight="15"/>
  <cols>
    <col min="1" max="1" width="1.85546875" customWidth="1"/>
    <col min="2" max="2" width="3.5703125" customWidth="1"/>
    <col min="3" max="3" width="29.5703125" customWidth="1"/>
    <col min="4" max="4" width="55.85546875" customWidth="1"/>
    <col min="5" max="5" width="14.7109375" customWidth="1"/>
    <col min="6"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 min="257" max="257" width="1.85546875" customWidth="1"/>
    <col min="258" max="258" width="3.5703125" customWidth="1"/>
    <col min="259" max="259" width="29.5703125" customWidth="1"/>
    <col min="260" max="260" width="54.42578125" customWidth="1"/>
    <col min="261" max="262" width="12.42578125" customWidth="1"/>
    <col min="263" max="263" width="12.85546875" customWidth="1"/>
    <col min="264" max="264" width="13.5703125" customWidth="1"/>
    <col min="265" max="265" width="12.5703125" customWidth="1"/>
    <col min="266" max="266" width="14.42578125" customWidth="1"/>
    <col min="267" max="267" width="12" customWidth="1"/>
    <col min="268" max="268" width="11.42578125" customWidth="1"/>
    <col min="269" max="269" width="11.5703125" bestFit="1" customWidth="1"/>
    <col min="270" max="270" width="14.5703125" customWidth="1"/>
    <col min="271" max="271" width="13" customWidth="1"/>
    <col min="272" max="272" width="49" customWidth="1"/>
    <col min="273" max="273" width="2.140625" customWidth="1"/>
    <col min="513" max="513" width="1.85546875" customWidth="1"/>
    <col min="514" max="514" width="3.5703125" customWidth="1"/>
    <col min="515" max="515" width="29.5703125" customWidth="1"/>
    <col min="516" max="516" width="54.42578125" customWidth="1"/>
    <col min="517" max="518" width="12.42578125" customWidth="1"/>
    <col min="519" max="519" width="12.85546875" customWidth="1"/>
    <col min="520" max="520" width="13.5703125" customWidth="1"/>
    <col min="521" max="521" width="12.5703125" customWidth="1"/>
    <col min="522" max="522" width="14.42578125" customWidth="1"/>
    <col min="523" max="523" width="12" customWidth="1"/>
    <col min="524" max="524" width="11.42578125" customWidth="1"/>
    <col min="525" max="525" width="11.5703125" bestFit="1" customWidth="1"/>
    <col min="526" max="526" width="14.5703125" customWidth="1"/>
    <col min="527" max="527" width="13" customWidth="1"/>
    <col min="528" max="528" width="49" customWidth="1"/>
    <col min="529" max="529" width="2.140625" customWidth="1"/>
    <col min="769" max="769" width="1.85546875" customWidth="1"/>
    <col min="770" max="770" width="3.5703125" customWidth="1"/>
    <col min="771" max="771" width="29.5703125" customWidth="1"/>
    <col min="772" max="772" width="54.42578125" customWidth="1"/>
    <col min="773" max="774" width="12.42578125" customWidth="1"/>
    <col min="775" max="775" width="12.85546875" customWidth="1"/>
    <col min="776" max="776" width="13.5703125" customWidth="1"/>
    <col min="777" max="777" width="12.5703125" customWidth="1"/>
    <col min="778" max="778" width="14.42578125" customWidth="1"/>
    <col min="779" max="779" width="12" customWidth="1"/>
    <col min="780" max="780" width="11.42578125" customWidth="1"/>
    <col min="781" max="781" width="11.5703125" bestFit="1" customWidth="1"/>
    <col min="782" max="782" width="14.5703125" customWidth="1"/>
    <col min="783" max="783" width="13" customWidth="1"/>
    <col min="784" max="784" width="49" customWidth="1"/>
    <col min="785" max="785" width="2.140625" customWidth="1"/>
    <col min="1025" max="1025" width="1.85546875" customWidth="1"/>
    <col min="1026" max="1026" width="3.5703125" customWidth="1"/>
    <col min="1027" max="1027" width="29.5703125" customWidth="1"/>
    <col min="1028" max="1028" width="54.42578125" customWidth="1"/>
    <col min="1029" max="1030" width="12.42578125" customWidth="1"/>
    <col min="1031" max="1031" width="12.85546875" customWidth="1"/>
    <col min="1032" max="1032" width="13.5703125" customWidth="1"/>
    <col min="1033" max="1033" width="12.5703125" customWidth="1"/>
    <col min="1034" max="1034" width="14.42578125" customWidth="1"/>
    <col min="1035" max="1035" width="12" customWidth="1"/>
    <col min="1036" max="1036" width="11.42578125" customWidth="1"/>
    <col min="1037" max="1037" width="11.5703125" bestFit="1" customWidth="1"/>
    <col min="1038" max="1038" width="14.5703125" customWidth="1"/>
    <col min="1039" max="1039" width="13" customWidth="1"/>
    <col min="1040" max="1040" width="49" customWidth="1"/>
    <col min="1041" max="1041" width="2.140625" customWidth="1"/>
    <col min="1281" max="1281" width="1.85546875" customWidth="1"/>
    <col min="1282" max="1282" width="3.5703125" customWidth="1"/>
    <col min="1283" max="1283" width="29.5703125" customWidth="1"/>
    <col min="1284" max="1284" width="54.42578125" customWidth="1"/>
    <col min="1285" max="1286" width="12.42578125" customWidth="1"/>
    <col min="1287" max="1287" width="12.85546875" customWidth="1"/>
    <col min="1288" max="1288" width="13.5703125" customWidth="1"/>
    <col min="1289" max="1289" width="12.5703125" customWidth="1"/>
    <col min="1290" max="1290" width="14.42578125" customWidth="1"/>
    <col min="1291" max="1291" width="12" customWidth="1"/>
    <col min="1292" max="1292" width="11.42578125" customWidth="1"/>
    <col min="1293" max="1293" width="11.5703125" bestFit="1" customWidth="1"/>
    <col min="1294" max="1294" width="14.5703125" customWidth="1"/>
    <col min="1295" max="1295" width="13" customWidth="1"/>
    <col min="1296" max="1296" width="49" customWidth="1"/>
    <col min="1297" max="1297" width="2.140625" customWidth="1"/>
    <col min="1537" max="1537" width="1.85546875" customWidth="1"/>
    <col min="1538" max="1538" width="3.5703125" customWidth="1"/>
    <col min="1539" max="1539" width="29.5703125" customWidth="1"/>
    <col min="1540" max="1540" width="54.42578125" customWidth="1"/>
    <col min="1541" max="1542" width="12.42578125" customWidth="1"/>
    <col min="1543" max="1543" width="12.85546875" customWidth="1"/>
    <col min="1544" max="1544" width="13.5703125" customWidth="1"/>
    <col min="1545" max="1545" width="12.5703125" customWidth="1"/>
    <col min="1546" max="1546" width="14.42578125" customWidth="1"/>
    <col min="1547" max="1547" width="12" customWidth="1"/>
    <col min="1548" max="1548" width="11.42578125" customWidth="1"/>
    <col min="1549" max="1549" width="11.5703125" bestFit="1" customWidth="1"/>
    <col min="1550" max="1550" width="14.5703125" customWidth="1"/>
    <col min="1551" max="1551" width="13" customWidth="1"/>
    <col min="1552" max="1552" width="49" customWidth="1"/>
    <col min="1553" max="1553" width="2.140625" customWidth="1"/>
    <col min="1793" max="1793" width="1.85546875" customWidth="1"/>
    <col min="1794" max="1794" width="3.5703125" customWidth="1"/>
    <col min="1795" max="1795" width="29.5703125" customWidth="1"/>
    <col min="1796" max="1796" width="54.42578125" customWidth="1"/>
    <col min="1797" max="1798" width="12.42578125" customWidth="1"/>
    <col min="1799" max="1799" width="12.85546875" customWidth="1"/>
    <col min="1800" max="1800" width="13.5703125" customWidth="1"/>
    <col min="1801" max="1801" width="12.5703125" customWidth="1"/>
    <col min="1802" max="1802" width="14.42578125" customWidth="1"/>
    <col min="1803" max="1803" width="12" customWidth="1"/>
    <col min="1804" max="1804" width="11.42578125" customWidth="1"/>
    <col min="1805" max="1805" width="11.5703125" bestFit="1" customWidth="1"/>
    <col min="1806" max="1806" width="14.5703125" customWidth="1"/>
    <col min="1807" max="1807" width="13" customWidth="1"/>
    <col min="1808" max="1808" width="49" customWidth="1"/>
    <col min="1809" max="1809" width="2.140625" customWidth="1"/>
    <col min="2049" max="2049" width="1.85546875" customWidth="1"/>
    <col min="2050" max="2050" width="3.5703125" customWidth="1"/>
    <col min="2051" max="2051" width="29.5703125" customWidth="1"/>
    <col min="2052" max="2052" width="54.42578125" customWidth="1"/>
    <col min="2053" max="2054" width="12.42578125" customWidth="1"/>
    <col min="2055" max="2055" width="12.85546875" customWidth="1"/>
    <col min="2056" max="2056" width="13.5703125" customWidth="1"/>
    <col min="2057" max="2057" width="12.5703125" customWidth="1"/>
    <col min="2058" max="2058" width="14.42578125" customWidth="1"/>
    <col min="2059" max="2059" width="12" customWidth="1"/>
    <col min="2060" max="2060" width="11.42578125" customWidth="1"/>
    <col min="2061" max="2061" width="11.5703125" bestFit="1" customWidth="1"/>
    <col min="2062" max="2062" width="14.5703125" customWidth="1"/>
    <col min="2063" max="2063" width="13" customWidth="1"/>
    <col min="2064" max="2064" width="49" customWidth="1"/>
    <col min="2065" max="2065" width="2.140625" customWidth="1"/>
    <col min="2305" max="2305" width="1.85546875" customWidth="1"/>
    <col min="2306" max="2306" width="3.5703125" customWidth="1"/>
    <col min="2307" max="2307" width="29.5703125" customWidth="1"/>
    <col min="2308" max="2308" width="54.42578125" customWidth="1"/>
    <col min="2309" max="2310" width="12.42578125" customWidth="1"/>
    <col min="2311" max="2311" width="12.85546875" customWidth="1"/>
    <col min="2312" max="2312" width="13.5703125" customWidth="1"/>
    <col min="2313" max="2313" width="12.5703125" customWidth="1"/>
    <col min="2314" max="2314" width="14.42578125" customWidth="1"/>
    <col min="2315" max="2315" width="12" customWidth="1"/>
    <col min="2316" max="2316" width="11.42578125" customWidth="1"/>
    <col min="2317" max="2317" width="11.5703125" bestFit="1" customWidth="1"/>
    <col min="2318" max="2318" width="14.5703125" customWidth="1"/>
    <col min="2319" max="2319" width="13" customWidth="1"/>
    <col min="2320" max="2320" width="49" customWidth="1"/>
    <col min="2321" max="2321" width="2.140625" customWidth="1"/>
    <col min="2561" max="2561" width="1.85546875" customWidth="1"/>
    <col min="2562" max="2562" width="3.5703125" customWidth="1"/>
    <col min="2563" max="2563" width="29.5703125" customWidth="1"/>
    <col min="2564" max="2564" width="54.42578125" customWidth="1"/>
    <col min="2565" max="2566" width="12.42578125" customWidth="1"/>
    <col min="2567" max="2567" width="12.85546875" customWidth="1"/>
    <col min="2568" max="2568" width="13.5703125" customWidth="1"/>
    <col min="2569" max="2569" width="12.5703125" customWidth="1"/>
    <col min="2570" max="2570" width="14.42578125" customWidth="1"/>
    <col min="2571" max="2571" width="12" customWidth="1"/>
    <col min="2572" max="2572" width="11.42578125" customWidth="1"/>
    <col min="2573" max="2573" width="11.5703125" bestFit="1" customWidth="1"/>
    <col min="2574" max="2574" width="14.5703125" customWidth="1"/>
    <col min="2575" max="2575" width="13" customWidth="1"/>
    <col min="2576" max="2576" width="49" customWidth="1"/>
    <col min="2577" max="2577" width="2.140625" customWidth="1"/>
    <col min="2817" max="2817" width="1.85546875" customWidth="1"/>
    <col min="2818" max="2818" width="3.5703125" customWidth="1"/>
    <col min="2819" max="2819" width="29.5703125" customWidth="1"/>
    <col min="2820" max="2820" width="54.42578125" customWidth="1"/>
    <col min="2821" max="2822" width="12.42578125" customWidth="1"/>
    <col min="2823" max="2823" width="12.85546875" customWidth="1"/>
    <col min="2824" max="2824" width="13.5703125" customWidth="1"/>
    <col min="2825" max="2825" width="12.5703125" customWidth="1"/>
    <col min="2826" max="2826" width="14.42578125" customWidth="1"/>
    <col min="2827" max="2827" width="12" customWidth="1"/>
    <col min="2828" max="2828" width="11.42578125" customWidth="1"/>
    <col min="2829" max="2829" width="11.5703125" bestFit="1" customWidth="1"/>
    <col min="2830" max="2830" width="14.5703125" customWidth="1"/>
    <col min="2831" max="2831" width="13" customWidth="1"/>
    <col min="2832" max="2832" width="49" customWidth="1"/>
    <col min="2833" max="2833" width="2.140625" customWidth="1"/>
    <col min="3073" max="3073" width="1.85546875" customWidth="1"/>
    <col min="3074" max="3074" width="3.5703125" customWidth="1"/>
    <col min="3075" max="3075" width="29.5703125" customWidth="1"/>
    <col min="3076" max="3076" width="54.42578125" customWidth="1"/>
    <col min="3077" max="3078" width="12.42578125" customWidth="1"/>
    <col min="3079" max="3079" width="12.85546875" customWidth="1"/>
    <col min="3080" max="3080" width="13.5703125" customWidth="1"/>
    <col min="3081" max="3081" width="12.5703125" customWidth="1"/>
    <col min="3082" max="3082" width="14.42578125" customWidth="1"/>
    <col min="3083" max="3083" width="12" customWidth="1"/>
    <col min="3084" max="3084" width="11.42578125" customWidth="1"/>
    <col min="3085" max="3085" width="11.5703125" bestFit="1" customWidth="1"/>
    <col min="3086" max="3086" width="14.5703125" customWidth="1"/>
    <col min="3087" max="3087" width="13" customWidth="1"/>
    <col min="3088" max="3088" width="49" customWidth="1"/>
    <col min="3089" max="3089" width="2.140625" customWidth="1"/>
    <col min="3329" max="3329" width="1.85546875" customWidth="1"/>
    <col min="3330" max="3330" width="3.5703125" customWidth="1"/>
    <col min="3331" max="3331" width="29.5703125" customWidth="1"/>
    <col min="3332" max="3332" width="54.42578125" customWidth="1"/>
    <col min="3333" max="3334" width="12.42578125" customWidth="1"/>
    <col min="3335" max="3335" width="12.85546875" customWidth="1"/>
    <col min="3336" max="3336" width="13.5703125" customWidth="1"/>
    <col min="3337" max="3337" width="12.5703125" customWidth="1"/>
    <col min="3338" max="3338" width="14.42578125" customWidth="1"/>
    <col min="3339" max="3339" width="12" customWidth="1"/>
    <col min="3340" max="3340" width="11.42578125" customWidth="1"/>
    <col min="3341" max="3341" width="11.5703125" bestFit="1" customWidth="1"/>
    <col min="3342" max="3342" width="14.5703125" customWidth="1"/>
    <col min="3343" max="3343" width="13" customWidth="1"/>
    <col min="3344" max="3344" width="49" customWidth="1"/>
    <col min="3345" max="3345" width="2.140625" customWidth="1"/>
    <col min="3585" max="3585" width="1.85546875" customWidth="1"/>
    <col min="3586" max="3586" width="3.5703125" customWidth="1"/>
    <col min="3587" max="3587" width="29.5703125" customWidth="1"/>
    <col min="3588" max="3588" width="54.42578125" customWidth="1"/>
    <col min="3589" max="3590" width="12.42578125" customWidth="1"/>
    <col min="3591" max="3591" width="12.85546875" customWidth="1"/>
    <col min="3592" max="3592" width="13.5703125" customWidth="1"/>
    <col min="3593" max="3593" width="12.5703125" customWidth="1"/>
    <col min="3594" max="3594" width="14.42578125" customWidth="1"/>
    <col min="3595" max="3595" width="12" customWidth="1"/>
    <col min="3596" max="3596" width="11.42578125" customWidth="1"/>
    <col min="3597" max="3597" width="11.5703125" bestFit="1" customWidth="1"/>
    <col min="3598" max="3598" width="14.5703125" customWidth="1"/>
    <col min="3599" max="3599" width="13" customWidth="1"/>
    <col min="3600" max="3600" width="49" customWidth="1"/>
    <col min="3601" max="3601" width="2.140625" customWidth="1"/>
    <col min="3841" max="3841" width="1.85546875" customWidth="1"/>
    <col min="3842" max="3842" width="3.5703125" customWidth="1"/>
    <col min="3843" max="3843" width="29.5703125" customWidth="1"/>
    <col min="3844" max="3844" width="54.42578125" customWidth="1"/>
    <col min="3845" max="3846" width="12.42578125" customWidth="1"/>
    <col min="3847" max="3847" width="12.85546875" customWidth="1"/>
    <col min="3848" max="3848" width="13.5703125" customWidth="1"/>
    <col min="3849" max="3849" width="12.5703125" customWidth="1"/>
    <col min="3850" max="3850" width="14.42578125" customWidth="1"/>
    <col min="3851" max="3851" width="12" customWidth="1"/>
    <col min="3852" max="3852" width="11.42578125" customWidth="1"/>
    <col min="3853" max="3853" width="11.5703125" bestFit="1" customWidth="1"/>
    <col min="3854" max="3854" width="14.5703125" customWidth="1"/>
    <col min="3855" max="3855" width="13" customWidth="1"/>
    <col min="3856" max="3856" width="49" customWidth="1"/>
    <col min="3857" max="3857" width="2.140625" customWidth="1"/>
    <col min="4097" max="4097" width="1.85546875" customWidth="1"/>
    <col min="4098" max="4098" width="3.5703125" customWidth="1"/>
    <col min="4099" max="4099" width="29.5703125" customWidth="1"/>
    <col min="4100" max="4100" width="54.42578125" customWidth="1"/>
    <col min="4101" max="4102" width="12.42578125" customWidth="1"/>
    <col min="4103" max="4103" width="12.85546875" customWidth="1"/>
    <col min="4104" max="4104" width="13.5703125" customWidth="1"/>
    <col min="4105" max="4105" width="12.5703125" customWidth="1"/>
    <col min="4106" max="4106" width="14.42578125" customWidth="1"/>
    <col min="4107" max="4107" width="12" customWidth="1"/>
    <col min="4108" max="4108" width="11.42578125" customWidth="1"/>
    <col min="4109" max="4109" width="11.5703125" bestFit="1" customWidth="1"/>
    <col min="4110" max="4110" width="14.5703125" customWidth="1"/>
    <col min="4111" max="4111" width="13" customWidth="1"/>
    <col min="4112" max="4112" width="49" customWidth="1"/>
    <col min="4113" max="4113" width="2.140625" customWidth="1"/>
    <col min="4353" max="4353" width="1.85546875" customWidth="1"/>
    <col min="4354" max="4354" width="3.5703125" customWidth="1"/>
    <col min="4355" max="4355" width="29.5703125" customWidth="1"/>
    <col min="4356" max="4356" width="54.42578125" customWidth="1"/>
    <col min="4357" max="4358" width="12.42578125" customWidth="1"/>
    <col min="4359" max="4359" width="12.85546875" customWidth="1"/>
    <col min="4360" max="4360" width="13.5703125" customWidth="1"/>
    <col min="4361" max="4361" width="12.5703125" customWidth="1"/>
    <col min="4362" max="4362" width="14.42578125" customWidth="1"/>
    <col min="4363" max="4363" width="12" customWidth="1"/>
    <col min="4364" max="4364" width="11.42578125" customWidth="1"/>
    <col min="4365" max="4365" width="11.5703125" bestFit="1" customWidth="1"/>
    <col min="4366" max="4366" width="14.5703125" customWidth="1"/>
    <col min="4367" max="4367" width="13" customWidth="1"/>
    <col min="4368" max="4368" width="49" customWidth="1"/>
    <col min="4369" max="4369" width="2.140625" customWidth="1"/>
    <col min="4609" max="4609" width="1.85546875" customWidth="1"/>
    <col min="4610" max="4610" width="3.5703125" customWidth="1"/>
    <col min="4611" max="4611" width="29.5703125" customWidth="1"/>
    <col min="4612" max="4612" width="54.42578125" customWidth="1"/>
    <col min="4613" max="4614" width="12.42578125" customWidth="1"/>
    <col min="4615" max="4615" width="12.85546875" customWidth="1"/>
    <col min="4616" max="4616" width="13.5703125" customWidth="1"/>
    <col min="4617" max="4617" width="12.5703125" customWidth="1"/>
    <col min="4618" max="4618" width="14.42578125" customWidth="1"/>
    <col min="4619" max="4619" width="12" customWidth="1"/>
    <col min="4620" max="4620" width="11.42578125" customWidth="1"/>
    <col min="4621" max="4621" width="11.5703125" bestFit="1" customWidth="1"/>
    <col min="4622" max="4622" width="14.5703125" customWidth="1"/>
    <col min="4623" max="4623" width="13" customWidth="1"/>
    <col min="4624" max="4624" width="49" customWidth="1"/>
    <col min="4625" max="4625" width="2.140625" customWidth="1"/>
    <col min="4865" max="4865" width="1.85546875" customWidth="1"/>
    <col min="4866" max="4866" width="3.5703125" customWidth="1"/>
    <col min="4867" max="4867" width="29.5703125" customWidth="1"/>
    <col min="4868" max="4868" width="54.42578125" customWidth="1"/>
    <col min="4869" max="4870" width="12.42578125" customWidth="1"/>
    <col min="4871" max="4871" width="12.85546875" customWidth="1"/>
    <col min="4872" max="4872" width="13.5703125" customWidth="1"/>
    <col min="4873" max="4873" width="12.5703125" customWidth="1"/>
    <col min="4874" max="4874" width="14.42578125" customWidth="1"/>
    <col min="4875" max="4875" width="12" customWidth="1"/>
    <col min="4876" max="4876" width="11.42578125" customWidth="1"/>
    <col min="4877" max="4877" width="11.5703125" bestFit="1" customWidth="1"/>
    <col min="4878" max="4878" width="14.5703125" customWidth="1"/>
    <col min="4879" max="4879" width="13" customWidth="1"/>
    <col min="4880" max="4880" width="49" customWidth="1"/>
    <col min="4881" max="4881" width="2.140625" customWidth="1"/>
    <col min="5121" max="5121" width="1.85546875" customWidth="1"/>
    <col min="5122" max="5122" width="3.5703125" customWidth="1"/>
    <col min="5123" max="5123" width="29.5703125" customWidth="1"/>
    <col min="5124" max="5124" width="54.42578125" customWidth="1"/>
    <col min="5125" max="5126" width="12.42578125" customWidth="1"/>
    <col min="5127" max="5127" width="12.85546875" customWidth="1"/>
    <col min="5128" max="5128" width="13.5703125" customWidth="1"/>
    <col min="5129" max="5129" width="12.5703125" customWidth="1"/>
    <col min="5130" max="5130" width="14.42578125" customWidth="1"/>
    <col min="5131" max="5131" width="12" customWidth="1"/>
    <col min="5132" max="5132" width="11.42578125" customWidth="1"/>
    <col min="5133" max="5133" width="11.5703125" bestFit="1" customWidth="1"/>
    <col min="5134" max="5134" width="14.5703125" customWidth="1"/>
    <col min="5135" max="5135" width="13" customWidth="1"/>
    <col min="5136" max="5136" width="49" customWidth="1"/>
    <col min="5137" max="5137" width="2.140625" customWidth="1"/>
    <col min="5377" max="5377" width="1.85546875" customWidth="1"/>
    <col min="5378" max="5378" width="3.5703125" customWidth="1"/>
    <col min="5379" max="5379" width="29.5703125" customWidth="1"/>
    <col min="5380" max="5380" width="54.42578125" customWidth="1"/>
    <col min="5381" max="5382" width="12.42578125" customWidth="1"/>
    <col min="5383" max="5383" width="12.85546875" customWidth="1"/>
    <col min="5384" max="5384" width="13.5703125" customWidth="1"/>
    <col min="5385" max="5385" width="12.5703125" customWidth="1"/>
    <col min="5386" max="5386" width="14.42578125" customWidth="1"/>
    <col min="5387" max="5387" width="12" customWidth="1"/>
    <col min="5388" max="5388" width="11.42578125" customWidth="1"/>
    <col min="5389" max="5389" width="11.5703125" bestFit="1" customWidth="1"/>
    <col min="5390" max="5390" width="14.5703125" customWidth="1"/>
    <col min="5391" max="5391" width="13" customWidth="1"/>
    <col min="5392" max="5392" width="49" customWidth="1"/>
    <col min="5393" max="5393" width="2.140625" customWidth="1"/>
    <col min="5633" max="5633" width="1.85546875" customWidth="1"/>
    <col min="5634" max="5634" width="3.5703125" customWidth="1"/>
    <col min="5635" max="5635" width="29.5703125" customWidth="1"/>
    <col min="5636" max="5636" width="54.42578125" customWidth="1"/>
    <col min="5637" max="5638" width="12.42578125" customWidth="1"/>
    <col min="5639" max="5639" width="12.85546875" customWidth="1"/>
    <col min="5640" max="5640" width="13.5703125" customWidth="1"/>
    <col min="5641" max="5641" width="12.5703125" customWidth="1"/>
    <col min="5642" max="5642" width="14.42578125" customWidth="1"/>
    <col min="5643" max="5643" width="12" customWidth="1"/>
    <col min="5644" max="5644" width="11.42578125" customWidth="1"/>
    <col min="5645" max="5645" width="11.5703125" bestFit="1" customWidth="1"/>
    <col min="5646" max="5646" width="14.5703125" customWidth="1"/>
    <col min="5647" max="5647" width="13" customWidth="1"/>
    <col min="5648" max="5648" width="49" customWidth="1"/>
    <col min="5649" max="5649" width="2.140625" customWidth="1"/>
    <col min="5889" max="5889" width="1.85546875" customWidth="1"/>
    <col min="5890" max="5890" width="3.5703125" customWidth="1"/>
    <col min="5891" max="5891" width="29.5703125" customWidth="1"/>
    <col min="5892" max="5892" width="54.42578125" customWidth="1"/>
    <col min="5893" max="5894" width="12.42578125" customWidth="1"/>
    <col min="5895" max="5895" width="12.85546875" customWidth="1"/>
    <col min="5896" max="5896" width="13.5703125" customWidth="1"/>
    <col min="5897" max="5897" width="12.5703125" customWidth="1"/>
    <col min="5898" max="5898" width="14.42578125" customWidth="1"/>
    <col min="5899" max="5899" width="12" customWidth="1"/>
    <col min="5900" max="5900" width="11.42578125" customWidth="1"/>
    <col min="5901" max="5901" width="11.5703125" bestFit="1" customWidth="1"/>
    <col min="5902" max="5902" width="14.5703125" customWidth="1"/>
    <col min="5903" max="5903" width="13" customWidth="1"/>
    <col min="5904" max="5904" width="49" customWidth="1"/>
    <col min="5905" max="5905" width="2.140625" customWidth="1"/>
    <col min="6145" max="6145" width="1.85546875" customWidth="1"/>
    <col min="6146" max="6146" width="3.5703125" customWidth="1"/>
    <col min="6147" max="6147" width="29.5703125" customWidth="1"/>
    <col min="6148" max="6148" width="54.42578125" customWidth="1"/>
    <col min="6149" max="6150" width="12.42578125" customWidth="1"/>
    <col min="6151" max="6151" width="12.85546875" customWidth="1"/>
    <col min="6152" max="6152" width="13.5703125" customWidth="1"/>
    <col min="6153" max="6153" width="12.5703125" customWidth="1"/>
    <col min="6154" max="6154" width="14.42578125" customWidth="1"/>
    <col min="6155" max="6155" width="12" customWidth="1"/>
    <col min="6156" max="6156" width="11.42578125" customWidth="1"/>
    <col min="6157" max="6157" width="11.5703125" bestFit="1" customWidth="1"/>
    <col min="6158" max="6158" width="14.5703125" customWidth="1"/>
    <col min="6159" max="6159" width="13" customWidth="1"/>
    <col min="6160" max="6160" width="49" customWidth="1"/>
    <col min="6161" max="6161" width="2.140625" customWidth="1"/>
    <col min="6401" max="6401" width="1.85546875" customWidth="1"/>
    <col min="6402" max="6402" width="3.5703125" customWidth="1"/>
    <col min="6403" max="6403" width="29.5703125" customWidth="1"/>
    <col min="6404" max="6404" width="54.42578125" customWidth="1"/>
    <col min="6405" max="6406" width="12.42578125" customWidth="1"/>
    <col min="6407" max="6407" width="12.85546875" customWidth="1"/>
    <col min="6408" max="6408" width="13.5703125" customWidth="1"/>
    <col min="6409" max="6409" width="12.5703125" customWidth="1"/>
    <col min="6410" max="6410" width="14.42578125" customWidth="1"/>
    <col min="6411" max="6411" width="12" customWidth="1"/>
    <col min="6412" max="6412" width="11.42578125" customWidth="1"/>
    <col min="6413" max="6413" width="11.5703125" bestFit="1" customWidth="1"/>
    <col min="6414" max="6414" width="14.5703125" customWidth="1"/>
    <col min="6415" max="6415" width="13" customWidth="1"/>
    <col min="6416" max="6416" width="49" customWidth="1"/>
    <col min="6417" max="6417" width="2.140625" customWidth="1"/>
    <col min="6657" max="6657" width="1.85546875" customWidth="1"/>
    <col min="6658" max="6658" width="3.5703125" customWidth="1"/>
    <col min="6659" max="6659" width="29.5703125" customWidth="1"/>
    <col min="6660" max="6660" width="54.42578125" customWidth="1"/>
    <col min="6661" max="6662" width="12.42578125" customWidth="1"/>
    <col min="6663" max="6663" width="12.85546875" customWidth="1"/>
    <col min="6664" max="6664" width="13.5703125" customWidth="1"/>
    <col min="6665" max="6665" width="12.5703125" customWidth="1"/>
    <col min="6666" max="6666" width="14.42578125" customWidth="1"/>
    <col min="6667" max="6667" width="12" customWidth="1"/>
    <col min="6668" max="6668" width="11.42578125" customWidth="1"/>
    <col min="6669" max="6669" width="11.5703125" bestFit="1" customWidth="1"/>
    <col min="6670" max="6670" width="14.5703125" customWidth="1"/>
    <col min="6671" max="6671" width="13" customWidth="1"/>
    <col min="6672" max="6672" width="49" customWidth="1"/>
    <col min="6673" max="6673" width="2.140625" customWidth="1"/>
    <col min="6913" max="6913" width="1.85546875" customWidth="1"/>
    <col min="6914" max="6914" width="3.5703125" customWidth="1"/>
    <col min="6915" max="6915" width="29.5703125" customWidth="1"/>
    <col min="6916" max="6916" width="54.42578125" customWidth="1"/>
    <col min="6917" max="6918" width="12.42578125" customWidth="1"/>
    <col min="6919" max="6919" width="12.85546875" customWidth="1"/>
    <col min="6920" max="6920" width="13.5703125" customWidth="1"/>
    <col min="6921" max="6921" width="12.5703125" customWidth="1"/>
    <col min="6922" max="6922" width="14.42578125" customWidth="1"/>
    <col min="6923" max="6923" width="12" customWidth="1"/>
    <col min="6924" max="6924" width="11.42578125" customWidth="1"/>
    <col min="6925" max="6925" width="11.5703125" bestFit="1" customWidth="1"/>
    <col min="6926" max="6926" width="14.5703125" customWidth="1"/>
    <col min="6927" max="6927" width="13" customWidth="1"/>
    <col min="6928" max="6928" width="49" customWidth="1"/>
    <col min="6929" max="6929" width="2.140625" customWidth="1"/>
    <col min="7169" max="7169" width="1.85546875" customWidth="1"/>
    <col min="7170" max="7170" width="3.5703125" customWidth="1"/>
    <col min="7171" max="7171" width="29.5703125" customWidth="1"/>
    <col min="7172" max="7172" width="54.42578125" customWidth="1"/>
    <col min="7173" max="7174" width="12.42578125" customWidth="1"/>
    <col min="7175" max="7175" width="12.85546875" customWidth="1"/>
    <col min="7176" max="7176" width="13.5703125" customWidth="1"/>
    <col min="7177" max="7177" width="12.5703125" customWidth="1"/>
    <col min="7178" max="7178" width="14.42578125" customWidth="1"/>
    <col min="7179" max="7179" width="12" customWidth="1"/>
    <col min="7180" max="7180" width="11.42578125" customWidth="1"/>
    <col min="7181" max="7181" width="11.5703125" bestFit="1" customWidth="1"/>
    <col min="7182" max="7182" width="14.5703125" customWidth="1"/>
    <col min="7183" max="7183" width="13" customWidth="1"/>
    <col min="7184" max="7184" width="49" customWidth="1"/>
    <col min="7185" max="7185" width="2.140625" customWidth="1"/>
    <col min="7425" max="7425" width="1.85546875" customWidth="1"/>
    <col min="7426" max="7426" width="3.5703125" customWidth="1"/>
    <col min="7427" max="7427" width="29.5703125" customWidth="1"/>
    <col min="7428" max="7428" width="54.42578125" customWidth="1"/>
    <col min="7429" max="7430" width="12.42578125" customWidth="1"/>
    <col min="7431" max="7431" width="12.85546875" customWidth="1"/>
    <col min="7432" max="7432" width="13.5703125" customWidth="1"/>
    <col min="7433" max="7433" width="12.5703125" customWidth="1"/>
    <col min="7434" max="7434" width="14.42578125" customWidth="1"/>
    <col min="7435" max="7435" width="12" customWidth="1"/>
    <col min="7436" max="7436" width="11.42578125" customWidth="1"/>
    <col min="7437" max="7437" width="11.5703125" bestFit="1" customWidth="1"/>
    <col min="7438" max="7438" width="14.5703125" customWidth="1"/>
    <col min="7439" max="7439" width="13" customWidth="1"/>
    <col min="7440" max="7440" width="49" customWidth="1"/>
    <col min="7441" max="7441" width="2.140625" customWidth="1"/>
    <col min="7681" max="7681" width="1.85546875" customWidth="1"/>
    <col min="7682" max="7682" width="3.5703125" customWidth="1"/>
    <col min="7683" max="7683" width="29.5703125" customWidth="1"/>
    <col min="7684" max="7684" width="54.42578125" customWidth="1"/>
    <col min="7685" max="7686" width="12.42578125" customWidth="1"/>
    <col min="7687" max="7687" width="12.85546875" customWidth="1"/>
    <col min="7688" max="7688" width="13.5703125" customWidth="1"/>
    <col min="7689" max="7689" width="12.5703125" customWidth="1"/>
    <col min="7690" max="7690" width="14.42578125" customWidth="1"/>
    <col min="7691" max="7691" width="12" customWidth="1"/>
    <col min="7692" max="7692" width="11.42578125" customWidth="1"/>
    <col min="7693" max="7693" width="11.5703125" bestFit="1" customWidth="1"/>
    <col min="7694" max="7694" width="14.5703125" customWidth="1"/>
    <col min="7695" max="7695" width="13" customWidth="1"/>
    <col min="7696" max="7696" width="49" customWidth="1"/>
    <col min="7697" max="7697" width="2.140625" customWidth="1"/>
    <col min="7937" max="7937" width="1.85546875" customWidth="1"/>
    <col min="7938" max="7938" width="3.5703125" customWidth="1"/>
    <col min="7939" max="7939" width="29.5703125" customWidth="1"/>
    <col min="7940" max="7940" width="54.42578125" customWidth="1"/>
    <col min="7941" max="7942" width="12.42578125" customWidth="1"/>
    <col min="7943" max="7943" width="12.85546875" customWidth="1"/>
    <col min="7944" max="7944" width="13.5703125" customWidth="1"/>
    <col min="7945" max="7945" width="12.5703125" customWidth="1"/>
    <col min="7946" max="7946" width="14.42578125" customWidth="1"/>
    <col min="7947" max="7947" width="12" customWidth="1"/>
    <col min="7948" max="7948" width="11.42578125" customWidth="1"/>
    <col min="7949" max="7949" width="11.5703125" bestFit="1" customWidth="1"/>
    <col min="7950" max="7950" width="14.5703125" customWidth="1"/>
    <col min="7951" max="7951" width="13" customWidth="1"/>
    <col min="7952" max="7952" width="49" customWidth="1"/>
    <col min="7953" max="7953" width="2.140625" customWidth="1"/>
    <col min="8193" max="8193" width="1.85546875" customWidth="1"/>
    <col min="8194" max="8194" width="3.5703125" customWidth="1"/>
    <col min="8195" max="8195" width="29.5703125" customWidth="1"/>
    <col min="8196" max="8196" width="54.42578125" customWidth="1"/>
    <col min="8197" max="8198" width="12.42578125" customWidth="1"/>
    <col min="8199" max="8199" width="12.85546875" customWidth="1"/>
    <col min="8200" max="8200" width="13.5703125" customWidth="1"/>
    <col min="8201" max="8201" width="12.5703125" customWidth="1"/>
    <col min="8202" max="8202" width="14.42578125" customWidth="1"/>
    <col min="8203" max="8203" width="12" customWidth="1"/>
    <col min="8204" max="8204" width="11.42578125" customWidth="1"/>
    <col min="8205" max="8205" width="11.5703125" bestFit="1" customWidth="1"/>
    <col min="8206" max="8206" width="14.5703125" customWidth="1"/>
    <col min="8207" max="8207" width="13" customWidth="1"/>
    <col min="8208" max="8208" width="49" customWidth="1"/>
    <col min="8209" max="8209" width="2.140625" customWidth="1"/>
    <col min="8449" max="8449" width="1.85546875" customWidth="1"/>
    <col min="8450" max="8450" width="3.5703125" customWidth="1"/>
    <col min="8451" max="8451" width="29.5703125" customWidth="1"/>
    <col min="8452" max="8452" width="54.42578125" customWidth="1"/>
    <col min="8453" max="8454" width="12.42578125" customWidth="1"/>
    <col min="8455" max="8455" width="12.85546875" customWidth="1"/>
    <col min="8456" max="8456" width="13.5703125" customWidth="1"/>
    <col min="8457" max="8457" width="12.5703125" customWidth="1"/>
    <col min="8458" max="8458" width="14.42578125" customWidth="1"/>
    <col min="8459" max="8459" width="12" customWidth="1"/>
    <col min="8460" max="8460" width="11.42578125" customWidth="1"/>
    <col min="8461" max="8461" width="11.5703125" bestFit="1" customWidth="1"/>
    <col min="8462" max="8462" width="14.5703125" customWidth="1"/>
    <col min="8463" max="8463" width="13" customWidth="1"/>
    <col min="8464" max="8464" width="49" customWidth="1"/>
    <col min="8465" max="8465" width="2.140625" customWidth="1"/>
    <col min="8705" max="8705" width="1.85546875" customWidth="1"/>
    <col min="8706" max="8706" width="3.5703125" customWidth="1"/>
    <col min="8707" max="8707" width="29.5703125" customWidth="1"/>
    <col min="8708" max="8708" width="54.42578125" customWidth="1"/>
    <col min="8709" max="8710" width="12.42578125" customWidth="1"/>
    <col min="8711" max="8711" width="12.85546875" customWidth="1"/>
    <col min="8712" max="8712" width="13.5703125" customWidth="1"/>
    <col min="8713" max="8713" width="12.5703125" customWidth="1"/>
    <col min="8714" max="8714" width="14.42578125" customWidth="1"/>
    <col min="8715" max="8715" width="12" customWidth="1"/>
    <col min="8716" max="8716" width="11.42578125" customWidth="1"/>
    <col min="8717" max="8717" width="11.5703125" bestFit="1" customWidth="1"/>
    <col min="8718" max="8718" width="14.5703125" customWidth="1"/>
    <col min="8719" max="8719" width="13" customWidth="1"/>
    <col min="8720" max="8720" width="49" customWidth="1"/>
    <col min="8721" max="8721" width="2.140625" customWidth="1"/>
    <col min="8961" max="8961" width="1.85546875" customWidth="1"/>
    <col min="8962" max="8962" width="3.5703125" customWidth="1"/>
    <col min="8963" max="8963" width="29.5703125" customWidth="1"/>
    <col min="8964" max="8964" width="54.42578125" customWidth="1"/>
    <col min="8965" max="8966" width="12.42578125" customWidth="1"/>
    <col min="8967" max="8967" width="12.85546875" customWidth="1"/>
    <col min="8968" max="8968" width="13.5703125" customWidth="1"/>
    <col min="8969" max="8969" width="12.5703125" customWidth="1"/>
    <col min="8970" max="8970" width="14.42578125" customWidth="1"/>
    <col min="8971" max="8971" width="12" customWidth="1"/>
    <col min="8972" max="8972" width="11.42578125" customWidth="1"/>
    <col min="8973" max="8973" width="11.5703125" bestFit="1" customWidth="1"/>
    <col min="8974" max="8974" width="14.5703125" customWidth="1"/>
    <col min="8975" max="8975" width="13" customWidth="1"/>
    <col min="8976" max="8976" width="49" customWidth="1"/>
    <col min="8977" max="8977" width="2.140625" customWidth="1"/>
    <col min="9217" max="9217" width="1.85546875" customWidth="1"/>
    <col min="9218" max="9218" width="3.5703125" customWidth="1"/>
    <col min="9219" max="9219" width="29.5703125" customWidth="1"/>
    <col min="9220" max="9220" width="54.42578125" customWidth="1"/>
    <col min="9221" max="9222" width="12.42578125" customWidth="1"/>
    <col min="9223" max="9223" width="12.85546875" customWidth="1"/>
    <col min="9224" max="9224" width="13.5703125" customWidth="1"/>
    <col min="9225" max="9225" width="12.5703125" customWidth="1"/>
    <col min="9226" max="9226" width="14.42578125" customWidth="1"/>
    <col min="9227" max="9227" width="12" customWidth="1"/>
    <col min="9228" max="9228" width="11.42578125" customWidth="1"/>
    <col min="9229" max="9229" width="11.5703125" bestFit="1" customWidth="1"/>
    <col min="9230" max="9230" width="14.5703125" customWidth="1"/>
    <col min="9231" max="9231" width="13" customWidth="1"/>
    <col min="9232" max="9232" width="49" customWidth="1"/>
    <col min="9233" max="9233" width="2.140625" customWidth="1"/>
    <col min="9473" max="9473" width="1.85546875" customWidth="1"/>
    <col min="9474" max="9474" width="3.5703125" customWidth="1"/>
    <col min="9475" max="9475" width="29.5703125" customWidth="1"/>
    <col min="9476" max="9476" width="54.42578125" customWidth="1"/>
    <col min="9477" max="9478" width="12.42578125" customWidth="1"/>
    <col min="9479" max="9479" width="12.85546875" customWidth="1"/>
    <col min="9480" max="9480" width="13.5703125" customWidth="1"/>
    <col min="9481" max="9481" width="12.5703125" customWidth="1"/>
    <col min="9482" max="9482" width="14.42578125" customWidth="1"/>
    <col min="9483" max="9483" width="12" customWidth="1"/>
    <col min="9484" max="9484" width="11.42578125" customWidth="1"/>
    <col min="9485" max="9485" width="11.5703125" bestFit="1" customWidth="1"/>
    <col min="9486" max="9486" width="14.5703125" customWidth="1"/>
    <col min="9487" max="9487" width="13" customWidth="1"/>
    <col min="9488" max="9488" width="49" customWidth="1"/>
    <col min="9489" max="9489" width="2.140625" customWidth="1"/>
    <col min="9729" max="9729" width="1.85546875" customWidth="1"/>
    <col min="9730" max="9730" width="3.5703125" customWidth="1"/>
    <col min="9731" max="9731" width="29.5703125" customWidth="1"/>
    <col min="9732" max="9732" width="54.42578125" customWidth="1"/>
    <col min="9733" max="9734" width="12.42578125" customWidth="1"/>
    <col min="9735" max="9735" width="12.85546875" customWidth="1"/>
    <col min="9736" max="9736" width="13.5703125" customWidth="1"/>
    <col min="9737" max="9737" width="12.5703125" customWidth="1"/>
    <col min="9738" max="9738" width="14.42578125" customWidth="1"/>
    <col min="9739" max="9739" width="12" customWidth="1"/>
    <col min="9740" max="9740" width="11.42578125" customWidth="1"/>
    <col min="9741" max="9741" width="11.5703125" bestFit="1" customWidth="1"/>
    <col min="9742" max="9742" width="14.5703125" customWidth="1"/>
    <col min="9743" max="9743" width="13" customWidth="1"/>
    <col min="9744" max="9744" width="49" customWidth="1"/>
    <col min="9745" max="9745" width="2.140625" customWidth="1"/>
    <col min="9985" max="9985" width="1.85546875" customWidth="1"/>
    <col min="9986" max="9986" width="3.5703125" customWidth="1"/>
    <col min="9987" max="9987" width="29.5703125" customWidth="1"/>
    <col min="9988" max="9988" width="54.42578125" customWidth="1"/>
    <col min="9989" max="9990" width="12.42578125" customWidth="1"/>
    <col min="9991" max="9991" width="12.85546875" customWidth="1"/>
    <col min="9992" max="9992" width="13.5703125" customWidth="1"/>
    <col min="9993" max="9993" width="12.5703125" customWidth="1"/>
    <col min="9994" max="9994" width="14.42578125" customWidth="1"/>
    <col min="9995" max="9995" width="12" customWidth="1"/>
    <col min="9996" max="9996" width="11.42578125" customWidth="1"/>
    <col min="9997" max="9997" width="11.5703125" bestFit="1" customWidth="1"/>
    <col min="9998" max="9998" width="14.5703125" customWidth="1"/>
    <col min="9999" max="9999" width="13" customWidth="1"/>
    <col min="10000" max="10000" width="49" customWidth="1"/>
    <col min="10001" max="10001" width="2.140625" customWidth="1"/>
    <col min="10241" max="10241" width="1.85546875" customWidth="1"/>
    <col min="10242" max="10242" width="3.5703125" customWidth="1"/>
    <col min="10243" max="10243" width="29.5703125" customWidth="1"/>
    <col min="10244" max="10244" width="54.42578125" customWidth="1"/>
    <col min="10245" max="10246" width="12.42578125" customWidth="1"/>
    <col min="10247" max="10247" width="12.85546875" customWidth="1"/>
    <col min="10248" max="10248" width="13.5703125" customWidth="1"/>
    <col min="10249" max="10249" width="12.5703125" customWidth="1"/>
    <col min="10250" max="10250" width="14.42578125" customWidth="1"/>
    <col min="10251" max="10251" width="12" customWidth="1"/>
    <col min="10252" max="10252" width="11.42578125" customWidth="1"/>
    <col min="10253" max="10253" width="11.5703125" bestFit="1" customWidth="1"/>
    <col min="10254" max="10254" width="14.5703125" customWidth="1"/>
    <col min="10255" max="10255" width="13" customWidth="1"/>
    <col min="10256" max="10256" width="49" customWidth="1"/>
    <col min="10257" max="10257" width="2.140625" customWidth="1"/>
    <col min="10497" max="10497" width="1.85546875" customWidth="1"/>
    <col min="10498" max="10498" width="3.5703125" customWidth="1"/>
    <col min="10499" max="10499" width="29.5703125" customWidth="1"/>
    <col min="10500" max="10500" width="54.42578125" customWidth="1"/>
    <col min="10501" max="10502" width="12.42578125" customWidth="1"/>
    <col min="10503" max="10503" width="12.85546875" customWidth="1"/>
    <col min="10504" max="10504" width="13.5703125" customWidth="1"/>
    <col min="10505" max="10505" width="12.5703125" customWidth="1"/>
    <col min="10506" max="10506" width="14.42578125" customWidth="1"/>
    <col min="10507" max="10507" width="12" customWidth="1"/>
    <col min="10508" max="10508" width="11.42578125" customWidth="1"/>
    <col min="10509" max="10509" width="11.5703125" bestFit="1" customWidth="1"/>
    <col min="10510" max="10510" width="14.5703125" customWidth="1"/>
    <col min="10511" max="10511" width="13" customWidth="1"/>
    <col min="10512" max="10512" width="49" customWidth="1"/>
    <col min="10513" max="10513" width="2.140625" customWidth="1"/>
    <col min="10753" max="10753" width="1.85546875" customWidth="1"/>
    <col min="10754" max="10754" width="3.5703125" customWidth="1"/>
    <col min="10755" max="10755" width="29.5703125" customWidth="1"/>
    <col min="10756" max="10756" width="54.42578125" customWidth="1"/>
    <col min="10757" max="10758" width="12.42578125" customWidth="1"/>
    <col min="10759" max="10759" width="12.85546875" customWidth="1"/>
    <col min="10760" max="10760" width="13.5703125" customWidth="1"/>
    <col min="10761" max="10761" width="12.5703125" customWidth="1"/>
    <col min="10762" max="10762" width="14.42578125" customWidth="1"/>
    <col min="10763" max="10763" width="12" customWidth="1"/>
    <col min="10764" max="10764" width="11.42578125" customWidth="1"/>
    <col min="10765" max="10765" width="11.5703125" bestFit="1" customWidth="1"/>
    <col min="10766" max="10766" width="14.5703125" customWidth="1"/>
    <col min="10767" max="10767" width="13" customWidth="1"/>
    <col min="10768" max="10768" width="49" customWidth="1"/>
    <col min="10769" max="10769" width="2.140625" customWidth="1"/>
    <col min="11009" max="11009" width="1.85546875" customWidth="1"/>
    <col min="11010" max="11010" width="3.5703125" customWidth="1"/>
    <col min="11011" max="11011" width="29.5703125" customWidth="1"/>
    <col min="11012" max="11012" width="54.42578125" customWidth="1"/>
    <col min="11013" max="11014" width="12.42578125" customWidth="1"/>
    <col min="11015" max="11015" width="12.85546875" customWidth="1"/>
    <col min="11016" max="11016" width="13.5703125" customWidth="1"/>
    <col min="11017" max="11017" width="12.5703125" customWidth="1"/>
    <col min="11018" max="11018" width="14.42578125" customWidth="1"/>
    <col min="11019" max="11019" width="12" customWidth="1"/>
    <col min="11020" max="11020" width="11.42578125" customWidth="1"/>
    <col min="11021" max="11021" width="11.5703125" bestFit="1" customWidth="1"/>
    <col min="11022" max="11022" width="14.5703125" customWidth="1"/>
    <col min="11023" max="11023" width="13" customWidth="1"/>
    <col min="11024" max="11024" width="49" customWidth="1"/>
    <col min="11025" max="11025" width="2.140625" customWidth="1"/>
    <col min="11265" max="11265" width="1.85546875" customWidth="1"/>
    <col min="11266" max="11266" width="3.5703125" customWidth="1"/>
    <col min="11267" max="11267" width="29.5703125" customWidth="1"/>
    <col min="11268" max="11268" width="54.42578125" customWidth="1"/>
    <col min="11269" max="11270" width="12.42578125" customWidth="1"/>
    <col min="11271" max="11271" width="12.85546875" customWidth="1"/>
    <col min="11272" max="11272" width="13.5703125" customWidth="1"/>
    <col min="11273" max="11273" width="12.5703125" customWidth="1"/>
    <col min="11274" max="11274" width="14.42578125" customWidth="1"/>
    <col min="11275" max="11275" width="12" customWidth="1"/>
    <col min="11276" max="11276" width="11.42578125" customWidth="1"/>
    <col min="11277" max="11277" width="11.5703125" bestFit="1" customWidth="1"/>
    <col min="11278" max="11278" width="14.5703125" customWidth="1"/>
    <col min="11279" max="11279" width="13" customWidth="1"/>
    <col min="11280" max="11280" width="49" customWidth="1"/>
    <col min="11281" max="11281" width="2.140625" customWidth="1"/>
    <col min="11521" max="11521" width="1.85546875" customWidth="1"/>
    <col min="11522" max="11522" width="3.5703125" customWidth="1"/>
    <col min="11523" max="11523" width="29.5703125" customWidth="1"/>
    <col min="11524" max="11524" width="54.42578125" customWidth="1"/>
    <col min="11525" max="11526" width="12.42578125" customWidth="1"/>
    <col min="11527" max="11527" width="12.85546875" customWidth="1"/>
    <col min="11528" max="11528" width="13.5703125" customWidth="1"/>
    <col min="11529" max="11529" width="12.5703125" customWidth="1"/>
    <col min="11530" max="11530" width="14.42578125" customWidth="1"/>
    <col min="11531" max="11531" width="12" customWidth="1"/>
    <col min="11532" max="11532" width="11.42578125" customWidth="1"/>
    <col min="11533" max="11533" width="11.5703125" bestFit="1" customWidth="1"/>
    <col min="11534" max="11534" width="14.5703125" customWidth="1"/>
    <col min="11535" max="11535" width="13" customWidth="1"/>
    <col min="11536" max="11536" width="49" customWidth="1"/>
    <col min="11537" max="11537" width="2.140625" customWidth="1"/>
    <col min="11777" max="11777" width="1.85546875" customWidth="1"/>
    <col min="11778" max="11778" width="3.5703125" customWidth="1"/>
    <col min="11779" max="11779" width="29.5703125" customWidth="1"/>
    <col min="11780" max="11780" width="54.42578125" customWidth="1"/>
    <col min="11781" max="11782" width="12.42578125" customWidth="1"/>
    <col min="11783" max="11783" width="12.85546875" customWidth="1"/>
    <col min="11784" max="11784" width="13.5703125" customWidth="1"/>
    <col min="11785" max="11785" width="12.5703125" customWidth="1"/>
    <col min="11786" max="11786" width="14.42578125" customWidth="1"/>
    <col min="11787" max="11787" width="12" customWidth="1"/>
    <col min="11788" max="11788" width="11.42578125" customWidth="1"/>
    <col min="11789" max="11789" width="11.5703125" bestFit="1" customWidth="1"/>
    <col min="11790" max="11790" width="14.5703125" customWidth="1"/>
    <col min="11791" max="11791" width="13" customWidth="1"/>
    <col min="11792" max="11792" width="49" customWidth="1"/>
    <col min="11793" max="11793" width="2.140625" customWidth="1"/>
    <col min="12033" max="12033" width="1.85546875" customWidth="1"/>
    <col min="12034" max="12034" width="3.5703125" customWidth="1"/>
    <col min="12035" max="12035" width="29.5703125" customWidth="1"/>
    <col min="12036" max="12036" width="54.42578125" customWidth="1"/>
    <col min="12037" max="12038" width="12.42578125" customWidth="1"/>
    <col min="12039" max="12039" width="12.85546875" customWidth="1"/>
    <col min="12040" max="12040" width="13.5703125" customWidth="1"/>
    <col min="12041" max="12041" width="12.5703125" customWidth="1"/>
    <col min="12042" max="12042" width="14.42578125" customWidth="1"/>
    <col min="12043" max="12043" width="12" customWidth="1"/>
    <col min="12044" max="12044" width="11.42578125" customWidth="1"/>
    <col min="12045" max="12045" width="11.5703125" bestFit="1" customWidth="1"/>
    <col min="12046" max="12046" width="14.5703125" customWidth="1"/>
    <col min="12047" max="12047" width="13" customWidth="1"/>
    <col min="12048" max="12048" width="49" customWidth="1"/>
    <col min="12049" max="12049" width="2.140625" customWidth="1"/>
    <col min="12289" max="12289" width="1.85546875" customWidth="1"/>
    <col min="12290" max="12290" width="3.5703125" customWidth="1"/>
    <col min="12291" max="12291" width="29.5703125" customWidth="1"/>
    <col min="12292" max="12292" width="54.42578125" customWidth="1"/>
    <col min="12293" max="12294" width="12.42578125" customWidth="1"/>
    <col min="12295" max="12295" width="12.85546875" customWidth="1"/>
    <col min="12296" max="12296" width="13.5703125" customWidth="1"/>
    <col min="12297" max="12297" width="12.5703125" customWidth="1"/>
    <col min="12298" max="12298" width="14.42578125" customWidth="1"/>
    <col min="12299" max="12299" width="12" customWidth="1"/>
    <col min="12300" max="12300" width="11.42578125" customWidth="1"/>
    <col min="12301" max="12301" width="11.5703125" bestFit="1" customWidth="1"/>
    <col min="12302" max="12302" width="14.5703125" customWidth="1"/>
    <col min="12303" max="12303" width="13" customWidth="1"/>
    <col min="12304" max="12304" width="49" customWidth="1"/>
    <col min="12305" max="12305" width="2.140625" customWidth="1"/>
    <col min="12545" max="12545" width="1.85546875" customWidth="1"/>
    <col min="12546" max="12546" width="3.5703125" customWidth="1"/>
    <col min="12547" max="12547" width="29.5703125" customWidth="1"/>
    <col min="12548" max="12548" width="54.42578125" customWidth="1"/>
    <col min="12549" max="12550" width="12.42578125" customWidth="1"/>
    <col min="12551" max="12551" width="12.85546875" customWidth="1"/>
    <col min="12552" max="12552" width="13.5703125" customWidth="1"/>
    <col min="12553" max="12553" width="12.5703125" customWidth="1"/>
    <col min="12554" max="12554" width="14.42578125" customWidth="1"/>
    <col min="12555" max="12555" width="12" customWidth="1"/>
    <col min="12556" max="12556" width="11.42578125" customWidth="1"/>
    <col min="12557" max="12557" width="11.5703125" bestFit="1" customWidth="1"/>
    <col min="12558" max="12558" width="14.5703125" customWidth="1"/>
    <col min="12559" max="12559" width="13" customWidth="1"/>
    <col min="12560" max="12560" width="49" customWidth="1"/>
    <col min="12561" max="12561" width="2.140625" customWidth="1"/>
    <col min="12801" max="12801" width="1.85546875" customWidth="1"/>
    <col min="12802" max="12802" width="3.5703125" customWidth="1"/>
    <col min="12803" max="12803" width="29.5703125" customWidth="1"/>
    <col min="12804" max="12804" width="54.42578125" customWidth="1"/>
    <col min="12805" max="12806" width="12.42578125" customWidth="1"/>
    <col min="12807" max="12807" width="12.85546875" customWidth="1"/>
    <col min="12808" max="12808" width="13.5703125" customWidth="1"/>
    <col min="12809" max="12809" width="12.5703125" customWidth="1"/>
    <col min="12810" max="12810" width="14.42578125" customWidth="1"/>
    <col min="12811" max="12811" width="12" customWidth="1"/>
    <col min="12812" max="12812" width="11.42578125" customWidth="1"/>
    <col min="12813" max="12813" width="11.5703125" bestFit="1" customWidth="1"/>
    <col min="12814" max="12814" width="14.5703125" customWidth="1"/>
    <col min="12815" max="12815" width="13" customWidth="1"/>
    <col min="12816" max="12816" width="49" customWidth="1"/>
    <col min="12817" max="12817" width="2.140625" customWidth="1"/>
    <col min="13057" max="13057" width="1.85546875" customWidth="1"/>
    <col min="13058" max="13058" width="3.5703125" customWidth="1"/>
    <col min="13059" max="13059" width="29.5703125" customWidth="1"/>
    <col min="13060" max="13060" width="54.42578125" customWidth="1"/>
    <col min="13061" max="13062" width="12.42578125" customWidth="1"/>
    <col min="13063" max="13063" width="12.85546875" customWidth="1"/>
    <col min="13064" max="13064" width="13.5703125" customWidth="1"/>
    <col min="13065" max="13065" width="12.5703125" customWidth="1"/>
    <col min="13066" max="13066" width="14.42578125" customWidth="1"/>
    <col min="13067" max="13067" width="12" customWidth="1"/>
    <col min="13068" max="13068" width="11.42578125" customWidth="1"/>
    <col min="13069" max="13069" width="11.5703125" bestFit="1" customWidth="1"/>
    <col min="13070" max="13070" width="14.5703125" customWidth="1"/>
    <col min="13071" max="13071" width="13" customWidth="1"/>
    <col min="13072" max="13072" width="49" customWidth="1"/>
    <col min="13073" max="13073" width="2.140625" customWidth="1"/>
    <col min="13313" max="13313" width="1.85546875" customWidth="1"/>
    <col min="13314" max="13314" width="3.5703125" customWidth="1"/>
    <col min="13315" max="13315" width="29.5703125" customWidth="1"/>
    <col min="13316" max="13316" width="54.42578125" customWidth="1"/>
    <col min="13317" max="13318" width="12.42578125" customWidth="1"/>
    <col min="13319" max="13319" width="12.85546875" customWidth="1"/>
    <col min="13320" max="13320" width="13.5703125" customWidth="1"/>
    <col min="13321" max="13321" width="12.5703125" customWidth="1"/>
    <col min="13322" max="13322" width="14.42578125" customWidth="1"/>
    <col min="13323" max="13323" width="12" customWidth="1"/>
    <col min="13324" max="13324" width="11.42578125" customWidth="1"/>
    <col min="13325" max="13325" width="11.5703125" bestFit="1" customWidth="1"/>
    <col min="13326" max="13326" width="14.5703125" customWidth="1"/>
    <col min="13327" max="13327" width="13" customWidth="1"/>
    <col min="13328" max="13328" width="49" customWidth="1"/>
    <col min="13329" max="13329" width="2.140625" customWidth="1"/>
    <col min="13569" max="13569" width="1.85546875" customWidth="1"/>
    <col min="13570" max="13570" width="3.5703125" customWidth="1"/>
    <col min="13571" max="13571" width="29.5703125" customWidth="1"/>
    <col min="13572" max="13572" width="54.42578125" customWidth="1"/>
    <col min="13573" max="13574" width="12.42578125" customWidth="1"/>
    <col min="13575" max="13575" width="12.85546875" customWidth="1"/>
    <col min="13576" max="13576" width="13.5703125" customWidth="1"/>
    <col min="13577" max="13577" width="12.5703125" customWidth="1"/>
    <col min="13578" max="13578" width="14.42578125" customWidth="1"/>
    <col min="13579" max="13579" width="12" customWidth="1"/>
    <col min="13580" max="13580" width="11.42578125" customWidth="1"/>
    <col min="13581" max="13581" width="11.5703125" bestFit="1" customWidth="1"/>
    <col min="13582" max="13582" width="14.5703125" customWidth="1"/>
    <col min="13583" max="13583" width="13" customWidth="1"/>
    <col min="13584" max="13584" width="49" customWidth="1"/>
    <col min="13585" max="13585" width="2.140625" customWidth="1"/>
    <col min="13825" max="13825" width="1.85546875" customWidth="1"/>
    <col min="13826" max="13826" width="3.5703125" customWidth="1"/>
    <col min="13827" max="13827" width="29.5703125" customWidth="1"/>
    <col min="13828" max="13828" width="54.42578125" customWidth="1"/>
    <col min="13829" max="13830" width="12.42578125" customWidth="1"/>
    <col min="13831" max="13831" width="12.85546875" customWidth="1"/>
    <col min="13832" max="13832" width="13.5703125" customWidth="1"/>
    <col min="13833" max="13833" width="12.5703125" customWidth="1"/>
    <col min="13834" max="13834" width="14.42578125" customWidth="1"/>
    <col min="13835" max="13835" width="12" customWidth="1"/>
    <col min="13836" max="13836" width="11.42578125" customWidth="1"/>
    <col min="13837" max="13837" width="11.5703125" bestFit="1" customWidth="1"/>
    <col min="13838" max="13838" width="14.5703125" customWidth="1"/>
    <col min="13839" max="13839" width="13" customWidth="1"/>
    <col min="13840" max="13840" width="49" customWidth="1"/>
    <col min="13841" max="13841" width="2.140625" customWidth="1"/>
    <col min="14081" max="14081" width="1.85546875" customWidth="1"/>
    <col min="14082" max="14082" width="3.5703125" customWidth="1"/>
    <col min="14083" max="14083" width="29.5703125" customWidth="1"/>
    <col min="14084" max="14084" width="54.42578125" customWidth="1"/>
    <col min="14085" max="14086" width="12.42578125" customWidth="1"/>
    <col min="14087" max="14087" width="12.85546875" customWidth="1"/>
    <col min="14088" max="14088" width="13.5703125" customWidth="1"/>
    <col min="14089" max="14089" width="12.5703125" customWidth="1"/>
    <col min="14090" max="14090" width="14.42578125" customWidth="1"/>
    <col min="14091" max="14091" width="12" customWidth="1"/>
    <col min="14092" max="14092" width="11.42578125" customWidth="1"/>
    <col min="14093" max="14093" width="11.5703125" bestFit="1" customWidth="1"/>
    <col min="14094" max="14094" width="14.5703125" customWidth="1"/>
    <col min="14095" max="14095" width="13" customWidth="1"/>
    <col min="14096" max="14096" width="49" customWidth="1"/>
    <col min="14097" max="14097" width="2.140625" customWidth="1"/>
    <col min="14337" max="14337" width="1.85546875" customWidth="1"/>
    <col min="14338" max="14338" width="3.5703125" customWidth="1"/>
    <col min="14339" max="14339" width="29.5703125" customWidth="1"/>
    <col min="14340" max="14340" width="54.42578125" customWidth="1"/>
    <col min="14341" max="14342" width="12.42578125" customWidth="1"/>
    <col min="14343" max="14343" width="12.85546875" customWidth="1"/>
    <col min="14344" max="14344" width="13.5703125" customWidth="1"/>
    <col min="14345" max="14345" width="12.5703125" customWidth="1"/>
    <col min="14346" max="14346" width="14.42578125" customWidth="1"/>
    <col min="14347" max="14347" width="12" customWidth="1"/>
    <col min="14348" max="14348" width="11.42578125" customWidth="1"/>
    <col min="14349" max="14349" width="11.5703125" bestFit="1" customWidth="1"/>
    <col min="14350" max="14350" width="14.5703125" customWidth="1"/>
    <col min="14351" max="14351" width="13" customWidth="1"/>
    <col min="14352" max="14352" width="49" customWidth="1"/>
    <col min="14353" max="14353" width="2.140625" customWidth="1"/>
    <col min="14593" max="14593" width="1.85546875" customWidth="1"/>
    <col min="14594" max="14594" width="3.5703125" customWidth="1"/>
    <col min="14595" max="14595" width="29.5703125" customWidth="1"/>
    <col min="14596" max="14596" width="54.42578125" customWidth="1"/>
    <col min="14597" max="14598" width="12.42578125" customWidth="1"/>
    <col min="14599" max="14599" width="12.85546875" customWidth="1"/>
    <col min="14600" max="14600" width="13.5703125" customWidth="1"/>
    <col min="14601" max="14601" width="12.5703125" customWidth="1"/>
    <col min="14602" max="14602" width="14.42578125" customWidth="1"/>
    <col min="14603" max="14603" width="12" customWidth="1"/>
    <col min="14604" max="14604" width="11.42578125" customWidth="1"/>
    <col min="14605" max="14605" width="11.5703125" bestFit="1" customWidth="1"/>
    <col min="14606" max="14606" width="14.5703125" customWidth="1"/>
    <col min="14607" max="14607" width="13" customWidth="1"/>
    <col min="14608" max="14608" width="49" customWidth="1"/>
    <col min="14609" max="14609" width="2.140625" customWidth="1"/>
    <col min="14849" max="14849" width="1.85546875" customWidth="1"/>
    <col min="14850" max="14850" width="3.5703125" customWidth="1"/>
    <col min="14851" max="14851" width="29.5703125" customWidth="1"/>
    <col min="14852" max="14852" width="54.42578125" customWidth="1"/>
    <col min="14853" max="14854" width="12.42578125" customWidth="1"/>
    <col min="14855" max="14855" width="12.85546875" customWidth="1"/>
    <col min="14856" max="14856" width="13.5703125" customWidth="1"/>
    <col min="14857" max="14857" width="12.5703125" customWidth="1"/>
    <col min="14858" max="14858" width="14.42578125" customWidth="1"/>
    <col min="14859" max="14859" width="12" customWidth="1"/>
    <col min="14860" max="14860" width="11.42578125" customWidth="1"/>
    <col min="14861" max="14861" width="11.5703125" bestFit="1" customWidth="1"/>
    <col min="14862" max="14862" width="14.5703125" customWidth="1"/>
    <col min="14863" max="14863" width="13" customWidth="1"/>
    <col min="14864" max="14864" width="49" customWidth="1"/>
    <col min="14865" max="14865" width="2.140625" customWidth="1"/>
    <col min="15105" max="15105" width="1.85546875" customWidth="1"/>
    <col min="15106" max="15106" width="3.5703125" customWidth="1"/>
    <col min="15107" max="15107" width="29.5703125" customWidth="1"/>
    <col min="15108" max="15108" width="54.42578125" customWidth="1"/>
    <col min="15109" max="15110" width="12.42578125" customWidth="1"/>
    <col min="15111" max="15111" width="12.85546875" customWidth="1"/>
    <col min="15112" max="15112" width="13.5703125" customWidth="1"/>
    <col min="15113" max="15113" width="12.5703125" customWidth="1"/>
    <col min="15114" max="15114" width="14.42578125" customWidth="1"/>
    <col min="15115" max="15115" width="12" customWidth="1"/>
    <col min="15116" max="15116" width="11.42578125" customWidth="1"/>
    <col min="15117" max="15117" width="11.5703125" bestFit="1" customWidth="1"/>
    <col min="15118" max="15118" width="14.5703125" customWidth="1"/>
    <col min="15119" max="15119" width="13" customWidth="1"/>
    <col min="15120" max="15120" width="49" customWidth="1"/>
    <col min="15121" max="15121" width="2.140625" customWidth="1"/>
    <col min="15361" max="15361" width="1.85546875" customWidth="1"/>
    <col min="15362" max="15362" width="3.5703125" customWidth="1"/>
    <col min="15363" max="15363" width="29.5703125" customWidth="1"/>
    <col min="15364" max="15364" width="54.42578125" customWidth="1"/>
    <col min="15365" max="15366" width="12.42578125" customWidth="1"/>
    <col min="15367" max="15367" width="12.85546875" customWidth="1"/>
    <col min="15368" max="15368" width="13.5703125" customWidth="1"/>
    <col min="15369" max="15369" width="12.5703125" customWidth="1"/>
    <col min="15370" max="15370" width="14.42578125" customWidth="1"/>
    <col min="15371" max="15371" width="12" customWidth="1"/>
    <col min="15372" max="15372" width="11.42578125" customWidth="1"/>
    <col min="15373" max="15373" width="11.5703125" bestFit="1" customWidth="1"/>
    <col min="15374" max="15374" width="14.5703125" customWidth="1"/>
    <col min="15375" max="15375" width="13" customWidth="1"/>
    <col min="15376" max="15376" width="49" customWidth="1"/>
    <col min="15377" max="15377" width="2.140625" customWidth="1"/>
    <col min="15617" max="15617" width="1.85546875" customWidth="1"/>
    <col min="15618" max="15618" width="3.5703125" customWidth="1"/>
    <col min="15619" max="15619" width="29.5703125" customWidth="1"/>
    <col min="15620" max="15620" width="54.42578125" customWidth="1"/>
    <col min="15621" max="15622" width="12.42578125" customWidth="1"/>
    <col min="15623" max="15623" width="12.85546875" customWidth="1"/>
    <col min="15624" max="15624" width="13.5703125" customWidth="1"/>
    <col min="15625" max="15625" width="12.5703125" customWidth="1"/>
    <col min="15626" max="15626" width="14.42578125" customWidth="1"/>
    <col min="15627" max="15627" width="12" customWidth="1"/>
    <col min="15628" max="15628" width="11.42578125" customWidth="1"/>
    <col min="15629" max="15629" width="11.5703125" bestFit="1" customWidth="1"/>
    <col min="15630" max="15630" width="14.5703125" customWidth="1"/>
    <col min="15631" max="15631" width="13" customWidth="1"/>
    <col min="15632" max="15632" width="49" customWidth="1"/>
    <col min="15633" max="15633" width="2.140625" customWidth="1"/>
    <col min="15873" max="15873" width="1.85546875" customWidth="1"/>
    <col min="15874" max="15874" width="3.5703125" customWidth="1"/>
    <col min="15875" max="15875" width="29.5703125" customWidth="1"/>
    <col min="15876" max="15876" width="54.42578125" customWidth="1"/>
    <col min="15877" max="15878" width="12.42578125" customWidth="1"/>
    <col min="15879" max="15879" width="12.85546875" customWidth="1"/>
    <col min="15880" max="15880" width="13.5703125" customWidth="1"/>
    <col min="15881" max="15881" width="12.5703125" customWidth="1"/>
    <col min="15882" max="15882" width="14.42578125" customWidth="1"/>
    <col min="15883" max="15883" width="12" customWidth="1"/>
    <col min="15884" max="15884" width="11.42578125" customWidth="1"/>
    <col min="15885" max="15885" width="11.5703125" bestFit="1" customWidth="1"/>
    <col min="15886" max="15886" width="14.5703125" customWidth="1"/>
    <col min="15887" max="15887" width="13" customWidth="1"/>
    <col min="15888" max="15888" width="49" customWidth="1"/>
    <col min="15889" max="15889" width="2.140625" customWidth="1"/>
    <col min="16129" max="16129" width="1.85546875" customWidth="1"/>
    <col min="16130" max="16130" width="3.5703125" customWidth="1"/>
    <col min="16131" max="16131" width="29.5703125" customWidth="1"/>
    <col min="16132" max="16132" width="54.42578125" customWidth="1"/>
    <col min="16133" max="16134" width="12.42578125" customWidth="1"/>
    <col min="16135" max="16135" width="12.85546875" customWidth="1"/>
    <col min="16136" max="16136" width="13.5703125" customWidth="1"/>
    <col min="16137" max="16137" width="12.5703125" customWidth="1"/>
    <col min="16138" max="16138" width="14.42578125" customWidth="1"/>
    <col min="16139" max="16139" width="12" customWidth="1"/>
    <col min="16140" max="16140" width="11.42578125" customWidth="1"/>
    <col min="16141" max="16141" width="11.5703125" bestFit="1" customWidth="1"/>
    <col min="16142" max="16142" width="14.5703125" customWidth="1"/>
    <col min="16143" max="16143" width="13" customWidth="1"/>
    <col min="16144" max="16144" width="49" customWidth="1"/>
    <col min="16145" max="16145" width="2.140625" customWidth="1"/>
  </cols>
  <sheetData>
    <row r="1" spans="1:25" ht="20.25">
      <c r="A1" s="2"/>
      <c r="B1" s="345" t="s">
        <v>0</v>
      </c>
      <c r="C1" s="345"/>
      <c r="D1" s="345"/>
      <c r="E1" s="345"/>
      <c r="F1" s="345"/>
      <c r="G1" s="345"/>
      <c r="H1" s="345"/>
      <c r="I1" s="345"/>
      <c r="J1" s="345"/>
      <c r="K1" s="345"/>
      <c r="L1" s="345"/>
      <c r="M1" s="345"/>
      <c r="N1" s="345"/>
      <c r="O1" s="345"/>
      <c r="P1" s="345"/>
      <c r="Q1" s="345"/>
      <c r="R1" s="2"/>
      <c r="S1" s="2"/>
      <c r="T1" s="2"/>
      <c r="U1" s="2"/>
      <c r="V1" s="2"/>
      <c r="W1" s="2"/>
      <c r="X1" s="2"/>
      <c r="Y1" s="2"/>
    </row>
    <row r="2" spans="1:25" ht="20.25">
      <c r="A2" s="2"/>
      <c r="B2" s="345" t="s">
        <v>39</v>
      </c>
      <c r="C2" s="345"/>
      <c r="D2" s="345"/>
      <c r="E2" s="345"/>
      <c r="F2" s="345"/>
      <c r="G2" s="345"/>
      <c r="H2" s="345"/>
      <c r="I2" s="345"/>
      <c r="J2" s="345"/>
      <c r="K2" s="345"/>
      <c r="L2" s="345"/>
      <c r="M2" s="345"/>
      <c r="N2" s="345"/>
      <c r="O2" s="345"/>
      <c r="P2" s="345"/>
      <c r="Q2" s="345"/>
      <c r="R2" s="2"/>
      <c r="S2" s="2"/>
      <c r="T2" s="2"/>
      <c r="U2" s="2"/>
      <c r="V2" s="2"/>
      <c r="W2" s="2"/>
      <c r="X2" s="2"/>
      <c r="Y2" s="2"/>
    </row>
    <row r="3" spans="1:25" ht="5.25" customHeight="1">
      <c r="A3" s="2"/>
      <c r="B3" s="9"/>
      <c r="C3" s="2"/>
      <c r="D3" s="2"/>
      <c r="E3" s="2"/>
      <c r="F3" s="2"/>
      <c r="G3" s="2"/>
      <c r="H3" s="2"/>
      <c r="I3" s="2"/>
      <c r="J3" s="2"/>
      <c r="K3" s="2"/>
      <c r="L3" s="2"/>
      <c r="M3" s="2"/>
      <c r="N3" s="2"/>
      <c r="O3" s="2"/>
      <c r="P3" s="2"/>
      <c r="Q3" s="2"/>
      <c r="R3" s="2"/>
      <c r="S3" s="2"/>
      <c r="T3" s="2"/>
      <c r="U3" s="2"/>
      <c r="V3" s="2"/>
      <c r="W3" s="2"/>
      <c r="X3" s="2"/>
      <c r="Y3" s="2"/>
    </row>
    <row r="4" spans="1:25" ht="15.75" thickBot="1">
      <c r="A4" s="2"/>
      <c r="B4" s="377" t="s">
        <v>40</v>
      </c>
      <c r="C4" s="377"/>
      <c r="D4" s="22" t="s">
        <v>542</v>
      </c>
      <c r="E4" s="23"/>
      <c r="F4" s="2"/>
      <c r="G4" s="2"/>
      <c r="H4" s="2"/>
      <c r="I4" s="2"/>
      <c r="J4" s="2"/>
      <c r="K4" s="2"/>
      <c r="L4" s="2"/>
      <c r="M4" s="2"/>
      <c r="N4" s="2"/>
      <c r="O4" s="2"/>
      <c r="P4" s="2"/>
      <c r="Q4" s="2"/>
      <c r="R4" s="2"/>
      <c r="S4" s="2"/>
      <c r="T4" s="2"/>
      <c r="U4" s="2"/>
      <c r="V4" s="2"/>
      <c r="W4" s="2"/>
      <c r="X4" s="2"/>
      <c r="Y4" s="2"/>
    </row>
    <row r="5" spans="1:25" ht="15.75" thickBot="1">
      <c r="A5" s="2"/>
      <c r="B5" s="377" t="s">
        <v>41</v>
      </c>
      <c r="C5" s="377"/>
      <c r="D5" s="24">
        <v>1</v>
      </c>
      <c r="E5" s="25" t="s">
        <v>42</v>
      </c>
      <c r="F5" s="26" t="s">
        <v>43</v>
      </c>
      <c r="G5" s="378" t="s">
        <v>842</v>
      </c>
      <c r="H5" s="378"/>
      <c r="I5" s="378"/>
      <c r="J5" s="378"/>
      <c r="K5" s="27"/>
      <c r="L5" s="27"/>
      <c r="M5" s="28" t="s">
        <v>17</v>
      </c>
      <c r="N5" s="29" t="str">
        <f>DQI!I8</f>
        <v>3,3,3,3,2</v>
      </c>
      <c r="O5" s="30"/>
      <c r="P5" s="18" t="s">
        <v>44</v>
      </c>
      <c r="Q5" s="2"/>
      <c r="R5" s="2"/>
      <c r="S5" s="2"/>
      <c r="T5" s="2"/>
      <c r="U5" s="2"/>
      <c r="V5" s="2"/>
      <c r="W5" s="2"/>
      <c r="X5" s="2"/>
      <c r="Y5" s="2"/>
    </row>
    <row r="6" spans="1:25" ht="27.75" customHeight="1">
      <c r="A6" s="2"/>
      <c r="B6" s="379" t="s">
        <v>45</v>
      </c>
      <c r="C6" s="380"/>
      <c r="D6" s="381" t="s">
        <v>543</v>
      </c>
      <c r="E6" s="382"/>
      <c r="F6" s="382"/>
      <c r="G6" s="382"/>
      <c r="H6" s="382"/>
      <c r="I6" s="382"/>
      <c r="J6" s="382"/>
      <c r="K6" s="382"/>
      <c r="L6" s="382"/>
      <c r="M6" s="382"/>
      <c r="N6" s="382"/>
      <c r="O6" s="383"/>
      <c r="P6" s="31"/>
      <c r="Q6" s="2"/>
      <c r="R6" s="2"/>
      <c r="S6" s="2"/>
      <c r="T6" s="2"/>
      <c r="U6" s="2"/>
      <c r="V6" s="2"/>
      <c r="W6" s="2"/>
      <c r="X6" s="2"/>
      <c r="Y6" s="2"/>
    </row>
    <row r="7" spans="1:25" ht="15.75" thickBot="1">
      <c r="A7" s="2"/>
      <c r="B7" s="9"/>
      <c r="C7" s="2"/>
      <c r="D7" s="2"/>
      <c r="E7" s="2"/>
      <c r="F7" s="2"/>
      <c r="G7" s="2"/>
      <c r="H7" s="2"/>
      <c r="I7" s="2"/>
      <c r="J7" s="2"/>
      <c r="K7" s="2"/>
      <c r="L7" s="2"/>
      <c r="M7" s="2"/>
      <c r="N7" s="2"/>
      <c r="O7" s="2"/>
      <c r="P7" s="2"/>
      <c r="Q7" s="2"/>
      <c r="R7" s="2"/>
      <c r="S7" s="2"/>
      <c r="T7" s="2"/>
      <c r="U7" s="2"/>
      <c r="V7" s="2"/>
      <c r="W7" s="2"/>
      <c r="X7" s="2"/>
      <c r="Y7" s="2"/>
    </row>
    <row r="8" spans="1:25" ht="15.75" thickBot="1">
      <c r="A8" s="32"/>
      <c r="B8" s="373" t="s">
        <v>46</v>
      </c>
      <c r="C8" s="374"/>
      <c r="D8" s="374"/>
      <c r="E8" s="374"/>
      <c r="F8" s="374"/>
      <c r="G8" s="374"/>
      <c r="H8" s="374"/>
      <c r="I8" s="374"/>
      <c r="J8" s="374"/>
      <c r="K8" s="374"/>
      <c r="L8" s="374"/>
      <c r="M8" s="374"/>
      <c r="N8" s="374"/>
      <c r="O8" s="374"/>
      <c r="P8" s="375"/>
      <c r="Q8" s="32"/>
      <c r="R8" s="32"/>
      <c r="S8" s="32"/>
      <c r="T8" s="32"/>
      <c r="U8" s="32"/>
      <c r="V8" s="32"/>
      <c r="W8" s="32"/>
      <c r="X8" s="32"/>
      <c r="Y8" s="32"/>
    </row>
    <row r="9" spans="1:25">
      <c r="A9" s="2"/>
      <c r="B9" s="9"/>
      <c r="C9" s="2"/>
      <c r="D9" s="2"/>
      <c r="E9" s="2"/>
      <c r="F9" s="2"/>
      <c r="G9" s="2"/>
      <c r="H9" s="2"/>
      <c r="I9" s="2"/>
      <c r="J9" s="2"/>
      <c r="K9" s="2"/>
      <c r="L9" s="2"/>
      <c r="M9" s="2"/>
      <c r="N9" s="2"/>
      <c r="O9" s="2"/>
      <c r="P9" s="2"/>
      <c r="Q9" s="2"/>
      <c r="R9" s="2"/>
      <c r="S9" s="2"/>
      <c r="T9" s="2"/>
      <c r="U9" s="2"/>
      <c r="V9" s="2"/>
      <c r="W9" s="2"/>
      <c r="X9" s="2"/>
      <c r="Y9" s="2"/>
    </row>
    <row r="10" spans="1:25">
      <c r="A10" s="2"/>
      <c r="B10" s="377" t="s">
        <v>47</v>
      </c>
      <c r="C10" s="377"/>
      <c r="D10" s="388" t="s">
        <v>544</v>
      </c>
      <c r="E10" s="389"/>
      <c r="F10" s="2"/>
      <c r="G10" s="33" t="s">
        <v>48</v>
      </c>
      <c r="H10" s="34"/>
      <c r="I10" s="34"/>
      <c r="J10" s="34"/>
      <c r="K10" s="34"/>
      <c r="L10" s="34"/>
      <c r="M10" s="34"/>
      <c r="N10" s="34"/>
      <c r="O10" s="35"/>
      <c r="P10" s="2"/>
      <c r="Q10" s="2"/>
      <c r="R10" s="2"/>
      <c r="S10" s="2"/>
      <c r="T10" s="2"/>
      <c r="U10" s="2"/>
      <c r="V10" s="2"/>
      <c r="W10" s="2"/>
      <c r="X10" s="2"/>
      <c r="Y10" s="2"/>
    </row>
    <row r="11" spans="1:25">
      <c r="A11" s="2"/>
      <c r="B11" s="390" t="s">
        <v>49</v>
      </c>
      <c r="C11" s="391"/>
      <c r="D11" s="392" t="s">
        <v>545</v>
      </c>
      <c r="E11" s="389"/>
      <c r="F11" s="2"/>
      <c r="G11" s="36" t="str">
        <f>CONCATENATE("Reference Flow: ",D5," ",E5," of ",G5)</f>
        <v>Reference Flow: 1 kg of Raw Petroleum Mixture</v>
      </c>
      <c r="H11" s="37"/>
      <c r="I11" s="37"/>
      <c r="J11" s="37"/>
      <c r="K11" s="37"/>
      <c r="L11" s="37"/>
      <c r="M11" s="37"/>
      <c r="N11" s="37"/>
      <c r="O11" s="38"/>
      <c r="P11" s="2"/>
      <c r="Q11" s="2"/>
      <c r="R11" s="2"/>
      <c r="S11" s="2"/>
      <c r="T11" s="2"/>
      <c r="U11" s="2"/>
      <c r="V11" s="2"/>
      <c r="W11" s="2"/>
      <c r="X11" s="2"/>
      <c r="Y11" s="2"/>
    </row>
    <row r="12" spans="1:25">
      <c r="A12" s="2"/>
      <c r="B12" s="377" t="s">
        <v>50</v>
      </c>
      <c r="C12" s="377"/>
      <c r="D12" s="384" t="s">
        <v>545</v>
      </c>
      <c r="E12" s="384"/>
      <c r="F12" s="2"/>
      <c r="G12" s="36"/>
      <c r="H12" s="37"/>
      <c r="I12" s="37"/>
      <c r="J12" s="37"/>
      <c r="K12" s="37"/>
      <c r="L12" s="37"/>
      <c r="M12" s="37"/>
      <c r="N12" s="37"/>
      <c r="O12" s="38"/>
      <c r="P12" s="2"/>
      <c r="Q12" s="2"/>
      <c r="R12" s="2"/>
      <c r="S12" s="2"/>
      <c r="T12" s="2"/>
      <c r="U12" s="2"/>
      <c r="V12" s="2"/>
      <c r="W12" s="2"/>
      <c r="X12" s="2"/>
      <c r="Y12" s="2"/>
    </row>
    <row r="13" spans="1:25" ht="12.75" customHeight="1">
      <c r="A13" s="2"/>
      <c r="B13" s="377" t="s">
        <v>51</v>
      </c>
      <c r="C13" s="377"/>
      <c r="D13" s="384" t="s">
        <v>87</v>
      </c>
      <c r="E13" s="384"/>
      <c r="F13" s="2"/>
      <c r="G13" s="385" t="s">
        <v>725</v>
      </c>
      <c r="H13" s="386"/>
      <c r="I13" s="386"/>
      <c r="J13" s="386"/>
      <c r="K13" s="386"/>
      <c r="L13" s="386"/>
      <c r="M13" s="386"/>
      <c r="N13" s="386"/>
      <c r="O13" s="387"/>
      <c r="P13" s="2"/>
      <c r="Q13" s="2"/>
      <c r="R13" s="2"/>
      <c r="S13" s="2"/>
      <c r="T13" s="2"/>
      <c r="U13" s="2"/>
      <c r="V13" s="2"/>
      <c r="W13" s="2"/>
      <c r="X13" s="2"/>
      <c r="Y13" s="2"/>
    </row>
    <row r="14" spans="1:25">
      <c r="A14" s="2"/>
      <c r="B14" s="377" t="s">
        <v>52</v>
      </c>
      <c r="C14" s="377"/>
      <c r="D14" s="384" t="s">
        <v>98</v>
      </c>
      <c r="E14" s="384"/>
      <c r="F14" s="2"/>
      <c r="G14" s="385"/>
      <c r="H14" s="386"/>
      <c r="I14" s="386"/>
      <c r="J14" s="386"/>
      <c r="K14" s="386"/>
      <c r="L14" s="386"/>
      <c r="M14" s="386"/>
      <c r="N14" s="386"/>
      <c r="O14" s="387"/>
      <c r="P14" s="2"/>
      <c r="Q14" s="2"/>
      <c r="R14" s="2"/>
      <c r="S14" s="2"/>
      <c r="T14" s="2"/>
      <c r="U14" s="2"/>
      <c r="V14" s="2"/>
      <c r="W14" s="2"/>
      <c r="X14" s="2"/>
      <c r="Y14" s="2"/>
    </row>
    <row r="15" spans="1:25">
      <c r="A15" s="2"/>
      <c r="B15" s="377" t="s">
        <v>53</v>
      </c>
      <c r="C15" s="377"/>
      <c r="D15" s="384" t="s">
        <v>546</v>
      </c>
      <c r="E15" s="384"/>
      <c r="F15" s="2"/>
      <c r="G15" s="385"/>
      <c r="H15" s="386"/>
      <c r="I15" s="386"/>
      <c r="J15" s="386"/>
      <c r="K15" s="386"/>
      <c r="L15" s="386"/>
      <c r="M15" s="386"/>
      <c r="N15" s="386"/>
      <c r="O15" s="387"/>
      <c r="P15" s="2"/>
      <c r="Q15" s="2"/>
      <c r="R15" s="2"/>
      <c r="S15" s="2"/>
      <c r="T15" s="2"/>
      <c r="U15" s="2"/>
      <c r="V15" s="2"/>
      <c r="W15" s="2"/>
      <c r="X15" s="2"/>
      <c r="Y15" s="2"/>
    </row>
    <row r="16" spans="1:25">
      <c r="A16" s="2"/>
      <c r="B16" s="377" t="s">
        <v>54</v>
      </c>
      <c r="C16" s="377"/>
      <c r="D16" s="384" t="s">
        <v>94</v>
      </c>
      <c r="E16" s="384"/>
      <c r="F16" s="2"/>
      <c r="G16" s="385"/>
      <c r="H16" s="386"/>
      <c r="I16" s="386"/>
      <c r="J16" s="386"/>
      <c r="K16" s="386"/>
      <c r="L16" s="386"/>
      <c r="M16" s="386"/>
      <c r="N16" s="386"/>
      <c r="O16" s="387"/>
      <c r="P16" s="2"/>
      <c r="Q16" s="2"/>
      <c r="R16" s="2"/>
      <c r="S16" s="2"/>
      <c r="T16" s="2"/>
      <c r="U16" s="2"/>
      <c r="V16" s="2"/>
      <c r="W16" s="2"/>
      <c r="X16" s="2"/>
      <c r="Y16" s="2"/>
    </row>
    <row r="17" spans="1:25" ht="23.45" customHeight="1">
      <c r="A17" s="2"/>
      <c r="B17" s="393" t="s">
        <v>55</v>
      </c>
      <c r="C17" s="394"/>
      <c r="D17" s="395"/>
      <c r="E17" s="395"/>
      <c r="F17" s="2"/>
      <c r="G17" s="39" t="s">
        <v>939</v>
      </c>
      <c r="H17" s="40"/>
      <c r="I17" s="40"/>
      <c r="J17" s="40"/>
      <c r="K17" s="40"/>
      <c r="L17" s="40"/>
      <c r="M17" s="40"/>
      <c r="N17" s="40"/>
      <c r="O17" s="41"/>
      <c r="P17" s="2"/>
      <c r="Q17" s="2"/>
      <c r="R17" s="2"/>
      <c r="S17" s="2"/>
      <c r="T17" s="2"/>
      <c r="U17" s="2"/>
      <c r="V17" s="2"/>
      <c r="W17" s="2"/>
      <c r="X17" s="2"/>
      <c r="Y17" s="2"/>
    </row>
    <row r="18" spans="1: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c r="A20" s="32"/>
      <c r="B20" s="373" t="s">
        <v>56</v>
      </c>
      <c r="C20" s="374"/>
      <c r="D20" s="374"/>
      <c r="E20" s="374"/>
      <c r="F20" s="374"/>
      <c r="G20" s="374"/>
      <c r="H20" s="374"/>
      <c r="I20" s="374"/>
      <c r="J20" s="374"/>
      <c r="K20" s="374"/>
      <c r="L20" s="374"/>
      <c r="M20" s="374"/>
      <c r="N20" s="374"/>
      <c r="O20" s="374"/>
      <c r="P20" s="375"/>
      <c r="Q20" s="32"/>
      <c r="R20" s="32"/>
      <c r="S20" s="32"/>
      <c r="T20" s="32"/>
      <c r="U20" s="32"/>
      <c r="V20" s="32"/>
      <c r="W20" s="32"/>
      <c r="X20" s="32"/>
      <c r="Y20" s="32"/>
    </row>
    <row r="21" spans="1:25">
      <c r="A21" s="2"/>
      <c r="B21" s="9"/>
      <c r="C21" s="2"/>
      <c r="D21" s="2"/>
      <c r="E21" s="2"/>
      <c r="F21" s="2"/>
      <c r="G21" s="42" t="s">
        <v>57</v>
      </c>
      <c r="H21" s="2"/>
      <c r="I21" s="2"/>
      <c r="J21" s="2"/>
      <c r="K21" s="2"/>
      <c r="L21" s="2"/>
      <c r="M21" s="2"/>
      <c r="N21" s="2"/>
      <c r="O21" s="2"/>
      <c r="P21" s="2"/>
      <c r="Q21" s="2"/>
      <c r="R21" s="2"/>
      <c r="S21" s="2"/>
      <c r="T21" s="2"/>
      <c r="U21" s="2"/>
      <c r="V21" s="2"/>
      <c r="W21" s="2"/>
      <c r="X21" s="2"/>
      <c r="Y21" s="2"/>
    </row>
    <row r="22" spans="1:25">
      <c r="A22" s="2"/>
      <c r="B22" s="9"/>
      <c r="C22" s="43" t="s">
        <v>58</v>
      </c>
      <c r="D22" s="43" t="s">
        <v>59</v>
      </c>
      <c r="E22" s="43" t="s">
        <v>60</v>
      </c>
      <c r="F22" s="43" t="s">
        <v>61</v>
      </c>
      <c r="G22" s="43" t="s">
        <v>62</v>
      </c>
      <c r="H22" s="43" t="s">
        <v>63</v>
      </c>
      <c r="I22" s="43" t="s">
        <v>64</v>
      </c>
      <c r="J22" s="396" t="s">
        <v>65</v>
      </c>
      <c r="K22" s="397"/>
      <c r="L22" s="397"/>
      <c r="M22" s="397"/>
      <c r="N22" s="397"/>
      <c r="O22" s="397"/>
      <c r="P22" s="398"/>
      <c r="Q22" s="2"/>
      <c r="R22" s="2"/>
      <c r="S22" s="2"/>
      <c r="T22" s="2"/>
      <c r="U22" s="2"/>
      <c r="V22" s="2"/>
      <c r="W22" s="2"/>
      <c r="X22" s="2"/>
      <c r="Y22" s="2"/>
    </row>
    <row r="23" spans="1:25">
      <c r="A23" s="2"/>
      <c r="B23" s="18">
        <f t="shared" ref="B23:B134" si="0">LEN(C23)</f>
        <v>3</v>
      </c>
      <c r="C23" s="276" t="s">
        <v>377</v>
      </c>
      <c r="D23" s="277"/>
      <c r="E23" s="278">
        <v>30</v>
      </c>
      <c r="F23" s="279">
        <v>10</v>
      </c>
      <c r="G23" s="280">
        <v>45</v>
      </c>
      <c r="H23" s="281"/>
      <c r="I23" s="279"/>
      <c r="J23" s="365" t="s">
        <v>378</v>
      </c>
      <c r="K23" s="366"/>
      <c r="L23" s="366"/>
      <c r="M23" s="366"/>
      <c r="N23" s="366"/>
      <c r="O23" s="366"/>
      <c r="P23" s="367"/>
      <c r="Q23" s="2"/>
      <c r="R23" s="2"/>
      <c r="S23" s="2"/>
      <c r="T23" s="2"/>
      <c r="U23" s="2"/>
      <c r="V23" s="2"/>
      <c r="W23" s="2"/>
      <c r="X23" s="2"/>
      <c r="Y23" s="2"/>
    </row>
    <row r="24" spans="1:25">
      <c r="A24" s="2"/>
      <c r="B24" s="18">
        <f t="shared" si="0"/>
        <v>6</v>
      </c>
      <c r="C24" s="276" t="s">
        <v>379</v>
      </c>
      <c r="D24" s="277" t="s">
        <v>380</v>
      </c>
      <c r="E24" s="244">
        <f>141.5/(E23+131.5)</f>
        <v>0.87616099071207432</v>
      </c>
      <c r="F24" s="279"/>
      <c r="G24" s="280"/>
      <c r="H24" s="281"/>
      <c r="I24" s="279"/>
      <c r="J24" s="365" t="s">
        <v>381</v>
      </c>
      <c r="K24" s="366"/>
      <c r="L24" s="366"/>
      <c r="M24" s="366"/>
      <c r="N24" s="366"/>
      <c r="O24" s="366"/>
      <c r="P24" s="367"/>
      <c r="Q24" s="2"/>
      <c r="R24" s="2"/>
      <c r="S24" s="2"/>
      <c r="T24" s="2"/>
      <c r="U24" s="2"/>
      <c r="V24" s="2"/>
      <c r="W24" s="2"/>
      <c r="X24" s="2"/>
      <c r="Y24" s="2"/>
    </row>
    <row r="25" spans="1:25">
      <c r="A25" s="2"/>
      <c r="B25" s="18">
        <f t="shared" si="0"/>
        <v>6</v>
      </c>
      <c r="C25" s="276" t="s">
        <v>382</v>
      </c>
      <c r="D25" s="277"/>
      <c r="E25" s="282">
        <f>1/CONVERT(42,"gal","l")*1000</f>
        <v>6.2898107704321058</v>
      </c>
      <c r="F25" s="279"/>
      <c r="G25" s="280"/>
      <c r="H25" s="281" t="s">
        <v>383</v>
      </c>
      <c r="I25" s="279"/>
      <c r="J25" s="365" t="s">
        <v>384</v>
      </c>
      <c r="K25" s="366"/>
      <c r="L25" s="366"/>
      <c r="M25" s="366"/>
      <c r="N25" s="366"/>
      <c r="O25" s="366"/>
      <c r="P25" s="367"/>
      <c r="Q25" s="2"/>
      <c r="R25" s="2"/>
      <c r="S25" s="2"/>
      <c r="T25" s="2"/>
      <c r="U25" s="2"/>
      <c r="V25" s="2"/>
      <c r="W25" s="2"/>
      <c r="X25" s="2"/>
      <c r="Y25" s="2"/>
    </row>
    <row r="26" spans="1:25">
      <c r="A26" s="2"/>
      <c r="B26" s="18">
        <f t="shared" si="0"/>
        <v>11</v>
      </c>
      <c r="C26" s="276" t="s">
        <v>385</v>
      </c>
      <c r="D26" s="277" t="s">
        <v>386</v>
      </c>
      <c r="E26" s="278">
        <f>E24*1000/E25</f>
        <v>139.29846583474921</v>
      </c>
      <c r="F26" s="279"/>
      <c r="G26" s="280"/>
      <c r="H26" s="281" t="s">
        <v>387</v>
      </c>
      <c r="I26" s="279"/>
      <c r="J26" s="365" t="s">
        <v>388</v>
      </c>
      <c r="K26" s="366"/>
      <c r="L26" s="366"/>
      <c r="M26" s="366"/>
      <c r="N26" s="366"/>
      <c r="O26" s="366"/>
      <c r="P26" s="367"/>
      <c r="Q26" s="2"/>
      <c r="R26" s="2"/>
      <c r="S26" s="2"/>
      <c r="T26" s="2"/>
      <c r="U26" s="2"/>
      <c r="V26" s="2"/>
      <c r="W26" s="2"/>
      <c r="X26" s="2"/>
      <c r="Y26" s="2"/>
    </row>
    <row r="27" spans="1:25">
      <c r="A27" s="2"/>
      <c r="B27" s="18">
        <f t="shared" si="0"/>
        <v>14</v>
      </c>
      <c r="C27" s="276" t="s">
        <v>391</v>
      </c>
      <c r="D27" s="277"/>
      <c r="E27" s="278">
        <v>1500</v>
      </c>
      <c r="F27" s="279"/>
      <c r="G27" s="280"/>
      <c r="H27" s="281" t="s">
        <v>392</v>
      </c>
      <c r="I27" s="279"/>
      <c r="J27" s="365" t="s">
        <v>393</v>
      </c>
      <c r="K27" s="366"/>
      <c r="L27" s="366"/>
      <c r="M27" s="366"/>
      <c r="N27" s="366"/>
      <c r="O27" s="366"/>
      <c r="P27" s="367"/>
      <c r="Q27" s="2"/>
      <c r="R27" s="2"/>
      <c r="S27" s="2"/>
      <c r="T27" s="2"/>
      <c r="U27" s="2"/>
      <c r="V27" s="2"/>
      <c r="W27" s="2"/>
      <c r="X27" s="2"/>
      <c r="Y27" s="2"/>
    </row>
    <row r="28" spans="1:25" ht="30" customHeight="1">
      <c r="A28" s="2"/>
      <c r="B28" s="18">
        <f t="shared" si="0"/>
        <v>3</v>
      </c>
      <c r="C28" s="276" t="s">
        <v>394</v>
      </c>
      <c r="D28" s="277"/>
      <c r="E28" s="321">
        <v>5.3</v>
      </c>
      <c r="F28" s="279">
        <v>0.5</v>
      </c>
      <c r="G28" s="280">
        <v>15</v>
      </c>
      <c r="H28" s="281" t="s">
        <v>395</v>
      </c>
      <c r="I28" s="279" t="s">
        <v>695</v>
      </c>
      <c r="J28" s="399" t="s">
        <v>708</v>
      </c>
      <c r="K28" s="400"/>
      <c r="L28" s="400"/>
      <c r="M28" s="400"/>
      <c r="N28" s="400"/>
      <c r="O28" s="400"/>
      <c r="P28" s="401"/>
      <c r="Q28" s="2"/>
      <c r="R28" s="2"/>
      <c r="S28" s="2"/>
      <c r="T28" s="2"/>
      <c r="U28" s="2"/>
      <c r="V28" s="2"/>
      <c r="W28" s="2"/>
      <c r="X28" s="2"/>
      <c r="Y28" s="2"/>
    </row>
    <row r="29" spans="1:25">
      <c r="A29" s="2"/>
      <c r="B29" s="18">
        <f t="shared" si="0"/>
        <v>3</v>
      </c>
      <c r="C29" s="276" t="s">
        <v>396</v>
      </c>
      <c r="D29" s="277"/>
      <c r="E29" s="278">
        <v>5000</v>
      </c>
      <c r="F29" s="279"/>
      <c r="G29" s="280"/>
      <c r="H29" s="281" t="s">
        <v>397</v>
      </c>
      <c r="I29" s="279"/>
      <c r="J29" s="365" t="s">
        <v>398</v>
      </c>
      <c r="K29" s="366"/>
      <c r="L29" s="366"/>
      <c r="M29" s="366"/>
      <c r="N29" s="366"/>
      <c r="O29" s="366"/>
      <c r="P29" s="367"/>
      <c r="Q29" s="2"/>
      <c r="R29" s="2"/>
      <c r="S29" s="2"/>
      <c r="T29" s="2"/>
      <c r="U29" s="2"/>
      <c r="V29" s="2"/>
      <c r="W29" s="2"/>
      <c r="X29" s="2"/>
      <c r="Y29" s="2"/>
    </row>
    <row r="30" spans="1:25">
      <c r="A30" s="2"/>
      <c r="B30" s="18">
        <f t="shared" si="0"/>
        <v>8</v>
      </c>
      <c r="C30" s="276" t="s">
        <v>399</v>
      </c>
      <c r="D30" s="277" t="s">
        <v>400</v>
      </c>
      <c r="E30" s="244">
        <f>1+E29*0.000000695</f>
        <v>1.0034749999999999</v>
      </c>
      <c r="F30" s="279"/>
      <c r="G30" s="280"/>
      <c r="H30" s="281"/>
      <c r="I30" s="279"/>
      <c r="J30" s="365" t="s">
        <v>401</v>
      </c>
      <c r="K30" s="366"/>
      <c r="L30" s="366"/>
      <c r="M30" s="366"/>
      <c r="N30" s="366"/>
      <c r="O30" s="366"/>
      <c r="P30" s="367"/>
      <c r="Q30" s="2"/>
      <c r="R30" s="2"/>
      <c r="S30" s="2"/>
      <c r="T30" s="2"/>
      <c r="U30" s="2"/>
      <c r="V30" s="2"/>
      <c r="W30" s="2"/>
      <c r="X30" s="2"/>
      <c r="Y30" s="2"/>
    </row>
    <row r="31" spans="1:25">
      <c r="A31" s="2"/>
      <c r="B31" s="18">
        <f t="shared" si="0"/>
        <v>9</v>
      </c>
      <c r="C31" s="276" t="s">
        <v>402</v>
      </c>
      <c r="D31" s="277"/>
      <c r="E31" s="278">
        <v>7240</v>
      </c>
      <c r="F31" s="279">
        <f>6807-3591</f>
        <v>3216</v>
      </c>
      <c r="G31" s="279">
        <f>6807+3591</f>
        <v>10398</v>
      </c>
      <c r="H31" s="281" t="s">
        <v>403</v>
      </c>
      <c r="I31" s="279"/>
      <c r="J31" s="365" t="s">
        <v>404</v>
      </c>
      <c r="K31" s="366"/>
      <c r="L31" s="366"/>
      <c r="M31" s="366"/>
      <c r="N31" s="366"/>
      <c r="O31" s="366"/>
      <c r="P31" s="367"/>
      <c r="Q31" s="2"/>
      <c r="R31" s="2"/>
      <c r="S31" s="2"/>
      <c r="T31" s="2"/>
      <c r="U31" s="2"/>
      <c r="V31" s="2"/>
      <c r="W31" s="2"/>
      <c r="X31" s="2"/>
      <c r="Y31" s="2"/>
    </row>
    <row r="32" spans="1:25">
      <c r="A32" s="2"/>
      <c r="B32" s="18">
        <f t="shared" si="0"/>
        <v>12</v>
      </c>
      <c r="C32" s="307" t="s">
        <v>408</v>
      </c>
      <c r="D32" s="277"/>
      <c r="E32" s="278">
        <v>1557</v>
      </c>
      <c r="F32" s="280"/>
      <c r="G32" s="280"/>
      <c r="H32" s="308" t="s">
        <v>410</v>
      </c>
      <c r="I32" s="280"/>
      <c r="J32" s="359" t="s">
        <v>411</v>
      </c>
      <c r="K32" s="360"/>
      <c r="L32" s="360"/>
      <c r="M32" s="360"/>
      <c r="N32" s="360"/>
      <c r="O32" s="360"/>
      <c r="P32" s="361"/>
      <c r="Q32" s="2"/>
      <c r="R32" s="2"/>
      <c r="S32" s="2"/>
      <c r="T32" s="2"/>
      <c r="U32" s="2"/>
      <c r="V32" s="2"/>
      <c r="W32" s="2"/>
      <c r="X32" s="2"/>
      <c r="Y32" s="2"/>
    </row>
    <row r="33" spans="1:25">
      <c r="A33" s="2"/>
      <c r="B33" s="18">
        <f t="shared" si="0"/>
        <v>15</v>
      </c>
      <c r="C33" s="307" t="s">
        <v>412</v>
      </c>
      <c r="D33" s="277"/>
      <c r="E33" s="278">
        <v>1000</v>
      </c>
      <c r="F33" s="280"/>
      <c r="G33" s="280"/>
      <c r="H33" s="308" t="s">
        <v>410</v>
      </c>
      <c r="I33" s="280"/>
      <c r="J33" s="359" t="s">
        <v>413</v>
      </c>
      <c r="K33" s="360"/>
      <c r="L33" s="360"/>
      <c r="M33" s="360"/>
      <c r="N33" s="360"/>
      <c r="O33" s="360"/>
      <c r="P33" s="361"/>
      <c r="Q33" s="2"/>
      <c r="R33" s="2"/>
      <c r="S33" s="2"/>
      <c r="T33" s="2"/>
      <c r="U33" s="2"/>
      <c r="V33" s="2"/>
      <c r="W33" s="2"/>
      <c r="X33" s="2"/>
      <c r="Y33" s="2"/>
    </row>
    <row r="34" spans="1:25">
      <c r="A34" s="2"/>
      <c r="B34" s="18">
        <f t="shared" si="0"/>
        <v>12</v>
      </c>
      <c r="C34" s="307" t="s">
        <v>414</v>
      </c>
      <c r="D34" s="277"/>
      <c r="E34" s="278">
        <v>82</v>
      </c>
      <c r="F34" s="280">
        <v>25</v>
      </c>
      <c r="G34" s="280">
        <v>200</v>
      </c>
      <c r="H34" s="308" t="s">
        <v>415</v>
      </c>
      <c r="I34" s="280"/>
      <c r="J34" s="309" t="s">
        <v>416</v>
      </c>
      <c r="K34" s="310"/>
      <c r="L34" s="310"/>
      <c r="M34" s="310"/>
      <c r="N34" s="310"/>
      <c r="O34" s="310"/>
      <c r="P34" s="311"/>
      <c r="Q34" s="2"/>
      <c r="R34" s="2"/>
      <c r="S34" s="2"/>
      <c r="T34" s="2"/>
      <c r="U34" s="2"/>
      <c r="V34" s="2"/>
      <c r="W34" s="2"/>
      <c r="X34" s="2"/>
      <c r="Y34" s="2"/>
    </row>
    <row r="35" spans="1:25">
      <c r="A35" s="2"/>
      <c r="B35" s="18">
        <f t="shared" si="0"/>
        <v>9</v>
      </c>
      <c r="C35" s="307" t="s">
        <v>417</v>
      </c>
      <c r="D35" s="277" t="s">
        <v>838</v>
      </c>
      <c r="E35" s="278">
        <f>ROUND(E27/E34,0)</f>
        <v>18</v>
      </c>
      <c r="F35" s="280"/>
      <c r="G35" s="283"/>
      <c r="H35" s="308" t="s">
        <v>418</v>
      </c>
      <c r="I35" s="280"/>
      <c r="J35" s="368" t="s">
        <v>419</v>
      </c>
      <c r="K35" s="369"/>
      <c r="L35" s="369"/>
      <c r="M35" s="369"/>
      <c r="N35" s="369"/>
      <c r="O35" s="369"/>
      <c r="P35" s="370"/>
      <c r="Q35" s="2"/>
      <c r="R35" s="2"/>
      <c r="S35" s="2"/>
      <c r="T35" s="2"/>
      <c r="U35" s="2"/>
      <c r="V35" s="2"/>
      <c r="W35" s="2"/>
      <c r="X35" s="2"/>
      <c r="Y35" s="2"/>
    </row>
    <row r="36" spans="1:25">
      <c r="A36" s="2"/>
      <c r="B36" s="18">
        <f t="shared" si="0"/>
        <v>6</v>
      </c>
      <c r="C36" s="307" t="s">
        <v>422</v>
      </c>
      <c r="D36" s="277" t="s">
        <v>423</v>
      </c>
      <c r="E36" s="282">
        <f>(E24/(1+E28)+E30*E28/(1+E28))</f>
        <v>0.98326642709715451</v>
      </c>
      <c r="F36" s="280"/>
      <c r="G36" s="280"/>
      <c r="H36" s="308"/>
      <c r="I36" s="280"/>
      <c r="J36" s="309" t="s">
        <v>424</v>
      </c>
      <c r="K36" s="310"/>
      <c r="L36" s="310"/>
      <c r="M36" s="310"/>
      <c r="N36" s="310"/>
      <c r="O36" s="310"/>
      <c r="P36" s="311"/>
      <c r="Q36" s="2"/>
      <c r="R36" s="2"/>
      <c r="S36" s="2"/>
      <c r="T36" s="2"/>
      <c r="U36" s="2"/>
      <c r="V36" s="2"/>
      <c r="W36" s="2"/>
      <c r="X36" s="2"/>
      <c r="Y36" s="2"/>
    </row>
    <row r="37" spans="1:25">
      <c r="A37" s="2"/>
      <c r="B37" s="18">
        <f t="shared" si="0"/>
        <v>9</v>
      </c>
      <c r="C37" s="307" t="s">
        <v>425</v>
      </c>
      <c r="D37" s="277" t="s">
        <v>426</v>
      </c>
      <c r="E37" s="278">
        <f>E31*E36/2.31</f>
        <v>3081.7527844949777</v>
      </c>
      <c r="F37" s="280"/>
      <c r="G37" s="280"/>
      <c r="H37" s="308" t="s">
        <v>410</v>
      </c>
      <c r="I37" s="280"/>
      <c r="J37" s="359" t="s">
        <v>427</v>
      </c>
      <c r="K37" s="360"/>
      <c r="L37" s="360"/>
      <c r="M37" s="360"/>
      <c r="N37" s="360"/>
      <c r="O37" s="360"/>
      <c r="P37" s="361"/>
      <c r="Q37" s="2"/>
      <c r="R37" s="2"/>
      <c r="S37" s="2"/>
      <c r="T37" s="2"/>
      <c r="U37" s="2"/>
      <c r="V37" s="2"/>
      <c r="W37" s="2"/>
      <c r="X37" s="2"/>
      <c r="Y37" s="2"/>
    </row>
    <row r="38" spans="1:25">
      <c r="A38" s="2"/>
      <c r="B38" s="18">
        <f t="shared" ref="B38:B46" si="1">LEN(C38)</f>
        <v>4</v>
      </c>
      <c r="C38" s="307" t="s">
        <v>499</v>
      </c>
      <c r="D38" s="277"/>
      <c r="E38" s="278">
        <v>1500</v>
      </c>
      <c r="F38" s="280"/>
      <c r="G38" s="280"/>
      <c r="H38" s="308" t="s">
        <v>376</v>
      </c>
      <c r="I38" s="280"/>
      <c r="J38" s="359" t="s">
        <v>500</v>
      </c>
      <c r="K38" s="360"/>
      <c r="L38" s="360"/>
      <c r="M38" s="360"/>
      <c r="N38" s="360"/>
      <c r="O38" s="360"/>
      <c r="P38" s="361"/>
      <c r="Q38" s="2"/>
      <c r="R38" s="2"/>
      <c r="S38" s="284"/>
      <c r="T38" s="284"/>
      <c r="U38" s="284"/>
      <c r="V38" s="284"/>
      <c r="W38" s="284"/>
      <c r="X38" s="284"/>
      <c r="Y38" s="284"/>
    </row>
    <row r="39" spans="1:25">
      <c r="A39" s="2"/>
      <c r="B39" s="18">
        <f t="shared" si="1"/>
        <v>7</v>
      </c>
      <c r="C39" s="307" t="s">
        <v>501</v>
      </c>
      <c r="D39" s="277" t="s">
        <v>707</v>
      </c>
      <c r="E39" s="313">
        <f>(E27+E28*E27)*E38</f>
        <v>14175000</v>
      </c>
      <c r="F39" s="280"/>
      <c r="G39" s="280"/>
      <c r="H39" s="308" t="s">
        <v>502</v>
      </c>
      <c r="I39" s="280"/>
      <c r="J39" s="309" t="s">
        <v>503</v>
      </c>
      <c r="K39" s="310"/>
      <c r="L39" s="310"/>
      <c r="M39" s="310"/>
      <c r="N39" s="310"/>
      <c r="O39" s="310"/>
      <c r="P39" s="311"/>
      <c r="Q39" s="2"/>
      <c r="R39" s="2"/>
      <c r="S39" s="26"/>
      <c r="T39" s="26"/>
      <c r="U39" s="26"/>
      <c r="V39" s="26"/>
      <c r="W39" s="26"/>
      <c r="X39" s="26"/>
      <c r="Y39" s="26"/>
    </row>
    <row r="40" spans="1:25">
      <c r="A40" s="2"/>
      <c r="B40" s="18">
        <f t="shared" si="1"/>
        <v>6</v>
      </c>
      <c r="C40" s="307" t="s">
        <v>485</v>
      </c>
      <c r="D40" s="277"/>
      <c r="E40" s="312">
        <v>2.3245028073435096E-2</v>
      </c>
      <c r="F40" s="280"/>
      <c r="G40" s="280"/>
      <c r="H40" s="308"/>
      <c r="I40" s="280"/>
      <c r="J40" s="309" t="s">
        <v>498</v>
      </c>
      <c r="K40" s="310"/>
      <c r="L40" s="310"/>
      <c r="M40" s="310"/>
      <c r="N40" s="310"/>
      <c r="O40" s="310"/>
      <c r="P40" s="311"/>
      <c r="Q40" s="2"/>
      <c r="R40" s="2"/>
      <c r="S40" s="26"/>
      <c r="T40" s="26"/>
      <c r="U40" s="26"/>
      <c r="V40" s="26"/>
      <c r="W40" s="26"/>
      <c r="X40" s="26"/>
      <c r="Y40" s="26"/>
    </row>
    <row r="41" spans="1:25">
      <c r="A41" s="2"/>
      <c r="B41" s="18">
        <f t="shared" si="1"/>
        <v>7</v>
      </c>
      <c r="C41" s="307" t="s">
        <v>486</v>
      </c>
      <c r="D41" s="277"/>
      <c r="E41" s="312">
        <v>0</v>
      </c>
      <c r="F41" s="280"/>
      <c r="G41" s="280"/>
      <c r="H41" s="308"/>
      <c r="I41" s="280"/>
      <c r="J41" s="309" t="s">
        <v>492</v>
      </c>
      <c r="K41" s="310"/>
      <c r="L41" s="310"/>
      <c r="M41" s="310"/>
      <c r="N41" s="310"/>
      <c r="O41" s="310"/>
      <c r="P41" s="311"/>
      <c r="Q41" s="2"/>
      <c r="R41" s="2"/>
      <c r="S41" s="26"/>
      <c r="T41" s="26"/>
      <c r="U41" s="26"/>
      <c r="V41" s="26"/>
      <c r="W41" s="26"/>
      <c r="X41" s="26"/>
      <c r="Y41" s="26"/>
    </row>
    <row r="42" spans="1:25">
      <c r="A42" s="2"/>
      <c r="B42" s="18">
        <f t="shared" si="1"/>
        <v>6</v>
      </c>
      <c r="C42" s="307" t="s">
        <v>487</v>
      </c>
      <c r="D42" s="277"/>
      <c r="E42" s="312">
        <v>0.97219924163882065</v>
      </c>
      <c r="F42" s="280"/>
      <c r="G42" s="280"/>
      <c r="H42" s="308"/>
      <c r="I42" s="280"/>
      <c r="J42" s="309" t="s">
        <v>493</v>
      </c>
      <c r="K42" s="310"/>
      <c r="L42" s="310"/>
      <c r="M42" s="310"/>
      <c r="N42" s="310"/>
      <c r="O42" s="310"/>
      <c r="P42" s="311"/>
      <c r="Q42" s="2"/>
      <c r="R42" s="2"/>
      <c r="S42" s="26"/>
      <c r="T42" s="26"/>
      <c r="U42" s="26"/>
      <c r="V42" s="26"/>
      <c r="W42" s="26"/>
      <c r="X42" s="26"/>
      <c r="Y42" s="26"/>
    </row>
    <row r="43" spans="1:25">
      <c r="A43" s="2"/>
      <c r="B43" s="18">
        <f t="shared" si="1"/>
        <v>6</v>
      </c>
      <c r="C43" s="307" t="s">
        <v>488</v>
      </c>
      <c r="D43" s="277"/>
      <c r="E43" s="312">
        <v>4.5557302877440075E-3</v>
      </c>
      <c r="F43" s="280"/>
      <c r="G43" s="280"/>
      <c r="H43" s="308"/>
      <c r="I43" s="280"/>
      <c r="J43" s="309" t="s">
        <v>494</v>
      </c>
      <c r="K43" s="310"/>
      <c r="L43" s="310"/>
      <c r="M43" s="310"/>
      <c r="N43" s="310"/>
      <c r="O43" s="310"/>
      <c r="P43" s="311"/>
      <c r="Q43" s="2"/>
      <c r="R43" s="2"/>
      <c r="S43" s="26"/>
      <c r="T43" s="26"/>
      <c r="U43" s="26"/>
      <c r="V43" s="26"/>
      <c r="W43" s="26"/>
      <c r="X43" s="26"/>
      <c r="Y43" s="26"/>
    </row>
    <row r="44" spans="1:25">
      <c r="A44" s="2"/>
      <c r="B44" s="18">
        <f t="shared" si="1"/>
        <v>6</v>
      </c>
      <c r="C44" s="307" t="s">
        <v>489</v>
      </c>
      <c r="D44" s="277"/>
      <c r="E44" s="312">
        <v>0</v>
      </c>
      <c r="F44" s="280"/>
      <c r="G44" s="280"/>
      <c r="H44" s="308"/>
      <c r="I44" s="280"/>
      <c r="J44" s="309" t="s">
        <v>495</v>
      </c>
      <c r="K44" s="310"/>
      <c r="L44" s="310"/>
      <c r="M44" s="310"/>
      <c r="N44" s="310"/>
      <c r="O44" s="310"/>
      <c r="P44" s="311"/>
      <c r="Q44" s="2"/>
      <c r="R44" s="2"/>
      <c r="S44" s="26"/>
      <c r="T44" s="26"/>
      <c r="U44" s="26"/>
      <c r="V44" s="26"/>
      <c r="W44" s="26"/>
      <c r="X44" s="26"/>
      <c r="Y44" s="26"/>
    </row>
    <row r="45" spans="1:25">
      <c r="A45" s="2"/>
      <c r="B45" s="18">
        <f t="shared" si="1"/>
        <v>11</v>
      </c>
      <c r="C45" s="307" t="s">
        <v>490</v>
      </c>
      <c r="D45" s="277"/>
      <c r="E45" s="312">
        <v>0</v>
      </c>
      <c r="F45" s="280"/>
      <c r="G45" s="280"/>
      <c r="H45" s="308"/>
      <c r="I45" s="280"/>
      <c r="J45" s="309" t="s">
        <v>496</v>
      </c>
      <c r="K45" s="310"/>
      <c r="L45" s="310"/>
      <c r="M45" s="310"/>
      <c r="N45" s="310"/>
      <c r="O45" s="310"/>
      <c r="P45" s="311"/>
      <c r="Q45" s="2"/>
      <c r="R45" s="2"/>
      <c r="S45" s="26"/>
      <c r="T45" s="26"/>
      <c r="U45" s="26"/>
      <c r="V45" s="26"/>
      <c r="W45" s="26"/>
      <c r="X45" s="26"/>
      <c r="Y45" s="26"/>
    </row>
    <row r="46" spans="1:25">
      <c r="A46" s="2"/>
      <c r="B46" s="18">
        <f t="shared" si="1"/>
        <v>7</v>
      </c>
      <c r="C46" s="307" t="s">
        <v>491</v>
      </c>
      <c r="D46" s="277"/>
      <c r="E46" s="312">
        <v>0</v>
      </c>
      <c r="F46" s="280"/>
      <c r="G46" s="280"/>
      <c r="H46" s="308"/>
      <c r="I46" s="280"/>
      <c r="J46" s="309" t="s">
        <v>497</v>
      </c>
      <c r="K46" s="310"/>
      <c r="L46" s="310"/>
      <c r="M46" s="310"/>
      <c r="N46" s="310"/>
      <c r="O46" s="310"/>
      <c r="P46" s="311"/>
      <c r="Q46" s="2"/>
      <c r="R46" s="2"/>
      <c r="S46" s="26"/>
      <c r="T46" s="26"/>
      <c r="U46" s="26"/>
      <c r="V46" s="26"/>
      <c r="W46" s="26"/>
      <c r="X46" s="26"/>
      <c r="Y46" s="26"/>
    </row>
    <row r="47" spans="1:25">
      <c r="A47" s="2"/>
      <c r="B47" s="18">
        <f t="shared" ref="B47:B66" si="2">LEN(C47)</f>
        <v>8</v>
      </c>
      <c r="C47" s="307" t="s">
        <v>506</v>
      </c>
      <c r="D47" s="312" t="str">
        <f>C40&amp;"*"&amp;Conversions!E81</f>
        <v>inj_N2*28.0134</v>
      </c>
      <c r="E47" s="312">
        <f>E40*Conversions!E81</f>
        <v>0.65117226943236672</v>
      </c>
      <c r="F47" s="280"/>
      <c r="G47" s="280"/>
      <c r="H47" s="317" t="s">
        <v>859</v>
      </c>
      <c r="I47" s="280"/>
      <c r="J47" s="359" t="s">
        <v>861</v>
      </c>
      <c r="K47" s="360"/>
      <c r="L47" s="360"/>
      <c r="M47" s="360"/>
      <c r="N47" s="360"/>
      <c r="O47" s="360"/>
      <c r="P47" s="361"/>
      <c r="Q47" s="2"/>
      <c r="R47" s="2"/>
      <c r="S47" s="284"/>
      <c r="T47" s="284"/>
      <c r="U47" s="284"/>
      <c r="V47" s="284"/>
      <c r="W47" s="284"/>
      <c r="X47" s="284"/>
      <c r="Y47" s="284"/>
    </row>
    <row r="48" spans="1:25">
      <c r="A48" s="2"/>
      <c r="B48" s="18">
        <f t="shared" si="2"/>
        <v>9</v>
      </c>
      <c r="C48" s="307" t="s">
        <v>507</v>
      </c>
      <c r="D48" s="312" t="str">
        <f>C41&amp;"*"&amp;Conversions!E82</f>
        <v>inj_CO2*44.01</v>
      </c>
      <c r="E48" s="312">
        <f>E41*Conversions!E82</f>
        <v>0</v>
      </c>
      <c r="F48" s="280"/>
      <c r="G48" s="280"/>
      <c r="H48" s="317" t="s">
        <v>859</v>
      </c>
      <c r="I48" s="280"/>
      <c r="J48" s="359" t="s">
        <v>862</v>
      </c>
      <c r="K48" s="360"/>
      <c r="L48" s="360"/>
      <c r="M48" s="360"/>
      <c r="N48" s="360"/>
      <c r="O48" s="360"/>
      <c r="P48" s="361"/>
      <c r="Q48" s="2"/>
      <c r="R48" s="2"/>
      <c r="S48" s="284"/>
      <c r="T48" s="284"/>
      <c r="U48" s="284"/>
      <c r="V48" s="284"/>
      <c r="W48" s="284"/>
      <c r="X48" s="284"/>
      <c r="Y48" s="284"/>
    </row>
    <row r="49" spans="1:25">
      <c r="A49" s="2"/>
      <c r="B49" s="18">
        <f t="shared" si="2"/>
        <v>8</v>
      </c>
      <c r="C49" s="307" t="s">
        <v>508</v>
      </c>
      <c r="D49" s="312" t="str">
        <f>C42&amp;"*"&amp;Conversions!E83</f>
        <v>inj_C1*16.04</v>
      </c>
      <c r="E49" s="312">
        <f>E42*Conversions!E83</f>
        <v>15.594075835886683</v>
      </c>
      <c r="F49" s="280"/>
      <c r="G49" s="280"/>
      <c r="H49" s="317" t="s">
        <v>859</v>
      </c>
      <c r="I49" s="280"/>
      <c r="J49" s="359" t="s">
        <v>863</v>
      </c>
      <c r="K49" s="360"/>
      <c r="L49" s="360"/>
      <c r="M49" s="360"/>
      <c r="N49" s="360"/>
      <c r="O49" s="360"/>
      <c r="P49" s="361"/>
      <c r="Q49" s="2"/>
      <c r="R49" s="2"/>
      <c r="S49" s="284"/>
      <c r="T49" s="284"/>
      <c r="U49" s="284"/>
      <c r="V49" s="284"/>
      <c r="W49" s="284"/>
      <c r="X49" s="284"/>
      <c r="Y49" s="284"/>
    </row>
    <row r="50" spans="1:25">
      <c r="A50" s="2"/>
      <c r="B50" s="18">
        <f t="shared" si="2"/>
        <v>8</v>
      </c>
      <c r="C50" s="307" t="s">
        <v>509</v>
      </c>
      <c r="D50" s="312" t="str">
        <f>C43&amp;"*"&amp;Conversions!E84</f>
        <v>inj_C2*30.07</v>
      </c>
      <c r="E50" s="312">
        <f>E43*Conversions!E84</f>
        <v>0.13699080975246231</v>
      </c>
      <c r="F50" s="280"/>
      <c r="G50" s="280"/>
      <c r="H50" s="317" t="s">
        <v>859</v>
      </c>
      <c r="I50" s="280"/>
      <c r="J50" s="359" t="s">
        <v>864</v>
      </c>
      <c r="K50" s="360"/>
      <c r="L50" s="360"/>
      <c r="M50" s="360"/>
      <c r="N50" s="360"/>
      <c r="O50" s="360"/>
      <c r="P50" s="361"/>
      <c r="Q50" s="2"/>
      <c r="R50" s="2"/>
      <c r="S50" s="284"/>
      <c r="T50" s="284"/>
      <c r="U50" s="284"/>
      <c r="V50" s="284"/>
      <c r="W50" s="284"/>
      <c r="X50" s="284"/>
      <c r="Y50" s="284"/>
    </row>
    <row r="51" spans="1:25">
      <c r="A51" s="2"/>
      <c r="B51" s="18">
        <f t="shared" si="2"/>
        <v>8</v>
      </c>
      <c r="C51" s="307" t="s">
        <v>510</v>
      </c>
      <c r="D51" s="312" t="str">
        <f>C44&amp;"*"&amp;Conversions!E85</f>
        <v>inj_C3*44.1</v>
      </c>
      <c r="E51" s="312">
        <f>E44*Conversions!E85</f>
        <v>0</v>
      </c>
      <c r="F51" s="280"/>
      <c r="G51" s="280"/>
      <c r="H51" s="317" t="s">
        <v>859</v>
      </c>
      <c r="I51" s="280"/>
      <c r="J51" s="359" t="s">
        <v>865</v>
      </c>
      <c r="K51" s="360"/>
      <c r="L51" s="360"/>
      <c r="M51" s="360"/>
      <c r="N51" s="360"/>
      <c r="O51" s="360"/>
      <c r="P51" s="361"/>
      <c r="Q51" s="2"/>
      <c r="R51" s="2"/>
      <c r="S51" s="284"/>
      <c r="T51" s="284"/>
      <c r="U51" s="284"/>
      <c r="V51" s="284"/>
      <c r="W51" s="284"/>
      <c r="X51" s="284"/>
      <c r="Y51" s="284"/>
    </row>
    <row r="52" spans="1:25">
      <c r="A52" s="2"/>
      <c r="B52" s="18">
        <f t="shared" si="2"/>
        <v>13</v>
      </c>
      <c r="C52" s="307" t="s">
        <v>511</v>
      </c>
      <c r="D52" s="312" t="str">
        <f>C45&amp;"*"&amp;Conversions!E86</f>
        <v>inj_C4_plus*58.12</v>
      </c>
      <c r="E52" s="312">
        <f>E45*Conversions!E86</f>
        <v>0</v>
      </c>
      <c r="F52" s="280"/>
      <c r="G52" s="280"/>
      <c r="H52" s="317" t="s">
        <v>859</v>
      </c>
      <c r="I52" s="280"/>
      <c r="J52" s="359" t="s">
        <v>866</v>
      </c>
      <c r="K52" s="360"/>
      <c r="L52" s="360"/>
      <c r="M52" s="360"/>
      <c r="N52" s="360"/>
      <c r="O52" s="360"/>
      <c r="P52" s="361"/>
      <c r="Q52" s="2"/>
      <c r="R52" s="2"/>
      <c r="S52" s="284"/>
      <c r="T52" s="284"/>
      <c r="U52" s="284"/>
      <c r="V52" s="284"/>
      <c r="W52" s="284"/>
      <c r="X52" s="284"/>
      <c r="Y52" s="284"/>
    </row>
    <row r="53" spans="1:25">
      <c r="A53" s="2"/>
      <c r="B53" s="18">
        <f t="shared" si="2"/>
        <v>9</v>
      </c>
      <c r="C53" s="307" t="s">
        <v>512</v>
      </c>
      <c r="D53" s="312" t="str">
        <f>C46&amp;"*"&amp;Conversions!E87</f>
        <v>inj_H2S*34.0809</v>
      </c>
      <c r="E53" s="312">
        <f>E46*Conversions!E87</f>
        <v>0</v>
      </c>
      <c r="F53" s="280"/>
      <c r="G53" s="280"/>
      <c r="H53" s="317" t="s">
        <v>859</v>
      </c>
      <c r="I53" s="280"/>
      <c r="J53" s="359" t="s">
        <v>867</v>
      </c>
      <c r="K53" s="360"/>
      <c r="L53" s="360"/>
      <c r="M53" s="360"/>
      <c r="N53" s="360"/>
      <c r="O53" s="360"/>
      <c r="P53" s="361"/>
      <c r="Q53" s="2"/>
      <c r="R53" s="2"/>
      <c r="S53" s="284"/>
      <c r="T53" s="284"/>
      <c r="U53" s="284"/>
      <c r="V53" s="284"/>
      <c r="W53" s="284"/>
      <c r="X53" s="284"/>
      <c r="Y53" s="284"/>
    </row>
    <row r="54" spans="1:25">
      <c r="A54" s="2"/>
      <c r="B54" s="18">
        <f t="shared" si="2"/>
        <v>15</v>
      </c>
      <c r="C54" s="307" t="s">
        <v>796</v>
      </c>
      <c r="D54" s="312" t="str">
        <f>C47&amp;"+"&amp;C48&amp;"+"&amp;C49&amp;"+"&amp;C50&amp;"+"&amp;C51&amp;"+"&amp;C52&amp;"+"&amp;C53</f>
        <v>inj_N2_m+inj_CO2_m+inj_C1_m+inj_C2_m+inj_C3_m+inj_C4_plus_m+inj_H2S_m</v>
      </c>
      <c r="E54" s="312">
        <f>E47+E48+E49+E50+E51+E52+E53</f>
        <v>16.382238915071511</v>
      </c>
      <c r="F54" s="280"/>
      <c r="G54" s="280"/>
      <c r="H54" s="317" t="s">
        <v>859</v>
      </c>
      <c r="I54" s="280"/>
      <c r="J54" s="359" t="s">
        <v>868</v>
      </c>
      <c r="K54" s="360"/>
      <c r="L54" s="360"/>
      <c r="M54" s="360"/>
      <c r="N54" s="360"/>
      <c r="O54" s="360"/>
      <c r="P54" s="361"/>
      <c r="Q54" s="2"/>
      <c r="R54" s="2"/>
      <c r="S54" s="284"/>
      <c r="T54" s="284"/>
      <c r="U54" s="284"/>
      <c r="V54" s="284"/>
      <c r="W54" s="284"/>
      <c r="X54" s="284"/>
      <c r="Y54" s="284"/>
    </row>
    <row r="55" spans="1:25">
      <c r="A55" s="2"/>
      <c r="B55" s="18">
        <f t="shared" si="2"/>
        <v>8</v>
      </c>
      <c r="C55" s="307" t="s">
        <v>877</v>
      </c>
      <c r="D55" s="277" t="str">
        <f>C40&amp;"*"&amp;'Calculations Sheet'!F60</f>
        <v>inj_N2*55.2422359282609</v>
      </c>
      <c r="E55" s="312">
        <f>E47*'Calculations Sheet'!F60</f>
        <v>35.972212137923847</v>
      </c>
      <c r="F55" s="280"/>
      <c r="G55" s="280"/>
      <c r="H55" s="317" t="s">
        <v>860</v>
      </c>
      <c r="I55" s="280"/>
      <c r="J55" s="359" t="s">
        <v>869</v>
      </c>
      <c r="K55" s="360"/>
      <c r="L55" s="360"/>
      <c r="M55" s="360"/>
      <c r="N55" s="360"/>
      <c r="O55" s="360"/>
      <c r="P55" s="361"/>
      <c r="Q55" s="2"/>
      <c r="R55" s="2"/>
      <c r="S55" s="284"/>
      <c r="T55" s="284"/>
      <c r="U55" s="284"/>
      <c r="V55" s="284"/>
      <c r="W55" s="284"/>
      <c r="X55" s="284"/>
      <c r="Y55" s="284"/>
    </row>
    <row r="56" spans="1:25">
      <c r="A56" s="2"/>
      <c r="B56" s="18">
        <f t="shared" si="2"/>
        <v>9</v>
      </c>
      <c r="C56" s="307" t="s">
        <v>878</v>
      </c>
      <c r="D56" s="277" t="str">
        <f>C41&amp;"*"&amp;'Calculations Sheet'!F61</f>
        <v>inj_CO2*35.2588492732709</v>
      </c>
      <c r="E56" s="312">
        <f>E48*'Calculations Sheet'!F61</f>
        <v>0</v>
      </c>
      <c r="F56" s="280"/>
      <c r="G56" s="280"/>
      <c r="H56" s="317" t="s">
        <v>860</v>
      </c>
      <c r="I56" s="280"/>
      <c r="J56" s="359" t="s">
        <v>870</v>
      </c>
      <c r="K56" s="360"/>
      <c r="L56" s="360"/>
      <c r="M56" s="360"/>
      <c r="N56" s="360"/>
      <c r="O56" s="360"/>
      <c r="P56" s="361"/>
      <c r="Q56" s="2"/>
      <c r="R56" s="2"/>
      <c r="S56" s="284"/>
      <c r="T56" s="284"/>
      <c r="U56" s="284"/>
      <c r="V56" s="284"/>
      <c r="W56" s="284"/>
      <c r="X56" s="284"/>
      <c r="Y56" s="284"/>
    </row>
    <row r="57" spans="1:25">
      <c r="A57" s="2"/>
      <c r="B57" s="18">
        <f t="shared" si="2"/>
        <v>8</v>
      </c>
      <c r="C57" s="307" t="s">
        <v>879</v>
      </c>
      <c r="D57" s="277" t="str">
        <f>C42&amp;"*"&amp;'Calculations Sheet'!F62</f>
        <v>inj_C1*96.531896984093</v>
      </c>
      <c r="E57" s="312">
        <f>E49*'Calculations Sheet'!F62</f>
        <v>1505.3257221519464</v>
      </c>
      <c r="F57" s="280"/>
      <c r="G57" s="280"/>
      <c r="H57" s="317" t="s">
        <v>860</v>
      </c>
      <c r="I57" s="280"/>
      <c r="J57" s="359" t="s">
        <v>871</v>
      </c>
      <c r="K57" s="360"/>
      <c r="L57" s="360"/>
      <c r="M57" s="360"/>
      <c r="N57" s="360"/>
      <c r="O57" s="360"/>
      <c r="P57" s="361"/>
      <c r="Q57" s="2"/>
      <c r="R57" s="2"/>
      <c r="S57" s="284"/>
      <c r="T57" s="284"/>
      <c r="U57" s="284"/>
      <c r="V57" s="284"/>
      <c r="W57" s="284"/>
      <c r="X57" s="284"/>
      <c r="Y57" s="284"/>
    </row>
    <row r="58" spans="1:25">
      <c r="A58" s="2"/>
      <c r="B58" s="18">
        <f t="shared" si="2"/>
        <v>8</v>
      </c>
      <c r="C58" s="307" t="s">
        <v>880</v>
      </c>
      <c r="D58" s="277" t="str">
        <f>C43&amp;"*"&amp;'Calculations Sheet'!F63</f>
        <v>inj_C2*51.67043901446</v>
      </c>
      <c r="E58" s="312">
        <f>E50*'Calculations Sheet'!F63</f>
        <v>7.0783752808561013</v>
      </c>
      <c r="F58" s="280"/>
      <c r="G58" s="280"/>
      <c r="H58" s="317" t="s">
        <v>860</v>
      </c>
      <c r="I58" s="280"/>
      <c r="J58" s="359" t="s">
        <v>872</v>
      </c>
      <c r="K58" s="360"/>
      <c r="L58" s="360"/>
      <c r="M58" s="360"/>
      <c r="N58" s="360"/>
      <c r="O58" s="360"/>
      <c r="P58" s="361"/>
      <c r="Q58" s="2"/>
      <c r="R58" s="2"/>
      <c r="S58" s="284"/>
      <c r="T58" s="284"/>
      <c r="U58" s="284"/>
      <c r="V58" s="284"/>
      <c r="W58" s="284"/>
      <c r="X58" s="284"/>
      <c r="Y58" s="284"/>
    </row>
    <row r="59" spans="1:25">
      <c r="A59" s="2"/>
      <c r="B59" s="18">
        <f t="shared" si="2"/>
        <v>8</v>
      </c>
      <c r="C59" s="307" t="s">
        <v>881</v>
      </c>
      <c r="D59" s="277" t="str">
        <f>C44&amp;"*"&amp;'Calculations Sheet'!F64</f>
        <v>inj_C3*35.4222648183467</v>
      </c>
      <c r="E59" s="312">
        <f>E51*'Calculations Sheet'!F64</f>
        <v>0</v>
      </c>
      <c r="F59" s="314"/>
      <c r="G59" s="280"/>
      <c r="H59" s="317" t="s">
        <v>860</v>
      </c>
      <c r="I59" s="280"/>
      <c r="J59" s="359" t="s">
        <v>873</v>
      </c>
      <c r="K59" s="360"/>
      <c r="L59" s="360"/>
      <c r="M59" s="360"/>
      <c r="N59" s="360"/>
      <c r="O59" s="360"/>
      <c r="P59" s="361"/>
      <c r="Q59" s="2"/>
      <c r="R59" s="2"/>
      <c r="S59" s="284"/>
      <c r="T59" s="284"/>
      <c r="U59" s="284"/>
      <c r="V59" s="284"/>
      <c r="W59" s="284"/>
      <c r="X59" s="284"/>
      <c r="Y59" s="284"/>
    </row>
    <row r="60" spans="1:25">
      <c r="A60" s="2"/>
      <c r="B60" s="18">
        <f t="shared" si="2"/>
        <v>13</v>
      </c>
      <c r="C60" s="307" t="s">
        <v>882</v>
      </c>
      <c r="D60" s="277" t="str">
        <f>C45&amp;"*"&amp;'Calculations Sheet'!F65</f>
        <v>inj_C4_plus*27.1736706383275</v>
      </c>
      <c r="E60" s="312">
        <f>E52*'Calculations Sheet'!F65</f>
        <v>0</v>
      </c>
      <c r="F60" s="280"/>
      <c r="G60" s="280"/>
      <c r="H60" s="317" t="s">
        <v>860</v>
      </c>
      <c r="I60" s="280"/>
      <c r="J60" s="359" t="s">
        <v>874</v>
      </c>
      <c r="K60" s="360"/>
      <c r="L60" s="360"/>
      <c r="M60" s="360"/>
      <c r="N60" s="360"/>
      <c r="O60" s="360"/>
      <c r="P60" s="361"/>
      <c r="Q60" s="2"/>
      <c r="R60" s="2"/>
      <c r="S60" s="284"/>
      <c r="T60" s="284"/>
      <c r="U60" s="284"/>
      <c r="V60" s="284"/>
      <c r="W60" s="284"/>
      <c r="X60" s="284"/>
      <c r="Y60" s="284"/>
    </row>
    <row r="61" spans="1:25">
      <c r="A61" s="2"/>
      <c r="B61" s="18">
        <f t="shared" si="2"/>
        <v>9</v>
      </c>
      <c r="C61" s="307" t="s">
        <v>883</v>
      </c>
      <c r="D61" s="277" t="str">
        <f>C46&amp;"*"&amp;'Calculations Sheet'!F66</f>
        <v>inj_H2S*45.6085004614082</v>
      </c>
      <c r="E61" s="312">
        <f>E53*'Calculations Sheet'!F66</f>
        <v>0</v>
      </c>
      <c r="F61" s="280"/>
      <c r="G61" s="280"/>
      <c r="H61" s="317" t="s">
        <v>860</v>
      </c>
      <c r="I61" s="280"/>
      <c r="J61" s="359" t="s">
        <v>875</v>
      </c>
      <c r="K61" s="360"/>
      <c r="L61" s="360"/>
      <c r="M61" s="360"/>
      <c r="N61" s="360"/>
      <c r="O61" s="360"/>
      <c r="P61" s="361"/>
      <c r="Q61" s="2"/>
      <c r="R61" s="2"/>
      <c r="S61" s="284"/>
      <c r="T61" s="284"/>
      <c r="U61" s="284"/>
      <c r="V61" s="284"/>
      <c r="W61" s="284"/>
      <c r="X61" s="284"/>
      <c r="Y61" s="284"/>
    </row>
    <row r="62" spans="1:25" ht="26.25">
      <c r="A62" s="2"/>
      <c r="B62" s="18">
        <f t="shared" si="2"/>
        <v>9</v>
      </c>
      <c r="C62" s="307" t="s">
        <v>855</v>
      </c>
      <c r="D62" s="332" t="str">
        <f>C55&amp;"+"&amp;C56&amp;"+"&amp;C57&amp;"+"&amp;C58&amp;"+"&amp;C59&amp;"+"&amp;C60&amp;"+"&amp;C61</f>
        <v>inj_N2_R+inj_CO2_R+inj_C1_R+inj_C2_R+inj_C3_R+inj_C4_plus_R+inj_H2S_R</v>
      </c>
      <c r="E62" s="312">
        <f>E55+E56+E57+E58+E59+E60+E61</f>
        <v>1548.3763095707263</v>
      </c>
      <c r="F62" s="280"/>
      <c r="G62" s="280"/>
      <c r="H62" s="317" t="s">
        <v>860</v>
      </c>
      <c r="I62" s="280"/>
      <c r="J62" s="359" t="s">
        <v>876</v>
      </c>
      <c r="K62" s="360"/>
      <c r="L62" s="360"/>
      <c r="M62" s="360"/>
      <c r="N62" s="360"/>
      <c r="O62" s="360"/>
      <c r="P62" s="361"/>
      <c r="Q62" s="2"/>
      <c r="R62" s="2"/>
      <c r="S62" s="284"/>
      <c r="T62" s="284"/>
      <c r="U62" s="284"/>
      <c r="V62" s="284"/>
      <c r="W62" s="284"/>
      <c r="X62" s="284"/>
      <c r="Y62" s="284"/>
    </row>
    <row r="63" spans="1:25">
      <c r="A63" s="2"/>
      <c r="B63" s="18">
        <f t="shared" si="2"/>
        <v>14</v>
      </c>
      <c r="C63" s="315" t="s">
        <v>856</v>
      </c>
      <c r="D63" s="93" t="str">
        <f>C62&amp;"*"&amp;Conversions!$D$121&amp;"/"&amp;Conversions!$D$123&amp;"/"&amp;C54&amp;"/"&amp;Conversions!$D$124</f>
        <v>inj_gas_R*527.67/2116.2168/injgas_mass_sum/0.45359237</v>
      </c>
      <c r="E63" s="93">
        <f>E62*Conversions!$D$121/Conversions!$D$123/E54/Conversions!$D$124</f>
        <v>51.956485683181434</v>
      </c>
      <c r="F63" s="47"/>
      <c r="G63" s="47"/>
      <c r="H63" s="317" t="s">
        <v>857</v>
      </c>
      <c r="I63" s="47"/>
      <c r="J63" s="326" t="s">
        <v>858</v>
      </c>
      <c r="K63" s="327"/>
      <c r="L63" s="327"/>
      <c r="M63" s="327"/>
      <c r="N63" s="327"/>
      <c r="O63" s="327"/>
      <c r="P63" s="328"/>
      <c r="Q63" s="2"/>
      <c r="R63" s="2"/>
      <c r="S63" s="330"/>
      <c r="T63" s="330"/>
      <c r="U63" s="330"/>
      <c r="V63" s="330"/>
      <c r="W63" s="330"/>
      <c r="X63" s="330"/>
      <c r="Y63" s="330"/>
    </row>
    <row r="64" spans="1:25">
      <c r="A64" s="2"/>
      <c r="B64" s="18">
        <f t="shared" si="2"/>
        <v>12</v>
      </c>
      <c r="C64" s="307" t="s">
        <v>797</v>
      </c>
      <c r="D64" s="277" t="str">
        <f>C39&amp;"*"&amp;C54&amp;"/"&amp;C62</f>
        <v>inj_gas*injgas_mass_sum/inj_gas_R</v>
      </c>
      <c r="E64" s="313">
        <f>E39/E63</f>
        <v>272824.4571127434</v>
      </c>
      <c r="F64" s="280"/>
      <c r="G64" s="280"/>
      <c r="H64" s="308" t="s">
        <v>477</v>
      </c>
      <c r="I64" s="280"/>
      <c r="J64" s="359" t="s">
        <v>529</v>
      </c>
      <c r="K64" s="360"/>
      <c r="L64" s="360"/>
      <c r="M64" s="360"/>
      <c r="N64" s="360"/>
      <c r="O64" s="360"/>
      <c r="P64" s="361"/>
      <c r="Q64" s="2"/>
      <c r="R64" s="2"/>
      <c r="S64" s="284"/>
      <c r="T64" s="284"/>
      <c r="U64" s="284"/>
      <c r="V64" s="284"/>
      <c r="W64" s="284"/>
      <c r="X64" s="284"/>
      <c r="Y64" s="284"/>
    </row>
    <row r="65" spans="1:25">
      <c r="A65" s="2"/>
      <c r="B65" s="18">
        <f t="shared" si="2"/>
        <v>6</v>
      </c>
      <c r="C65" s="315" t="s">
        <v>940</v>
      </c>
      <c r="D65" s="45"/>
      <c r="E65" s="306">
        <v>908</v>
      </c>
      <c r="F65" s="47"/>
      <c r="G65" s="47"/>
      <c r="H65" s="308" t="s">
        <v>376</v>
      </c>
      <c r="I65" s="47"/>
      <c r="J65" s="359" t="s">
        <v>844</v>
      </c>
      <c r="K65" s="360"/>
      <c r="L65" s="360"/>
      <c r="M65" s="360"/>
      <c r="N65" s="360"/>
      <c r="O65" s="360"/>
      <c r="P65" s="361"/>
      <c r="Q65" s="2"/>
      <c r="R65" s="2"/>
      <c r="S65" s="325"/>
      <c r="T65" s="325"/>
      <c r="U65" s="325"/>
      <c r="V65" s="325"/>
      <c r="W65" s="325"/>
      <c r="X65" s="325"/>
      <c r="Y65" s="325"/>
    </row>
    <row r="66" spans="1:25" ht="26.25">
      <c r="A66" s="2"/>
      <c r="B66" s="18">
        <f t="shared" si="2"/>
        <v>3</v>
      </c>
      <c r="C66" s="307" t="s">
        <v>428</v>
      </c>
      <c r="D66" s="277" t="s">
        <v>941</v>
      </c>
      <c r="E66" s="278">
        <f>IF(E65&gt;0,E65,IF(E23&lt;20,227,IF(AND(E23&gt;=20,E23&lt;=30),908,1297)))</f>
        <v>908</v>
      </c>
      <c r="F66" s="280"/>
      <c r="G66" s="280"/>
      <c r="H66" s="308" t="s">
        <v>376</v>
      </c>
      <c r="I66" s="280"/>
      <c r="J66" s="359" t="s">
        <v>429</v>
      </c>
      <c r="K66" s="360"/>
      <c r="L66" s="360"/>
      <c r="M66" s="360"/>
      <c r="N66" s="360"/>
      <c r="O66" s="360"/>
      <c r="P66" s="361"/>
      <c r="Q66" s="2"/>
      <c r="R66" s="2"/>
      <c r="S66" s="2"/>
      <c r="T66" s="2"/>
      <c r="U66" s="2"/>
      <c r="V66" s="2"/>
      <c r="W66" s="2"/>
      <c r="X66" s="2"/>
      <c r="Y66" s="2"/>
    </row>
    <row r="67" spans="1:25">
      <c r="A67" s="2"/>
      <c r="B67" s="18">
        <f t="shared" si="0"/>
        <v>2</v>
      </c>
      <c r="C67" s="307" t="s">
        <v>430</v>
      </c>
      <c r="D67" s="277"/>
      <c r="E67" s="312">
        <v>0.02</v>
      </c>
      <c r="F67" s="280"/>
      <c r="G67" s="280"/>
      <c r="H67" s="308"/>
      <c r="I67" s="280"/>
      <c r="J67" s="359" t="s">
        <v>431</v>
      </c>
      <c r="K67" s="360"/>
      <c r="L67" s="360"/>
      <c r="M67" s="360"/>
      <c r="N67" s="360"/>
      <c r="O67" s="360"/>
      <c r="P67" s="361"/>
      <c r="Q67" s="2"/>
      <c r="R67" s="2"/>
      <c r="S67" s="2"/>
      <c r="T67" s="2"/>
      <c r="U67" s="2"/>
      <c r="V67" s="2"/>
      <c r="W67" s="2"/>
      <c r="X67" s="2"/>
      <c r="Y67" s="2"/>
    </row>
    <row r="68" spans="1:25">
      <c r="A68" s="2"/>
      <c r="B68" s="18">
        <f t="shared" si="0"/>
        <v>3</v>
      </c>
      <c r="C68" s="307" t="s">
        <v>432</v>
      </c>
      <c r="D68" s="277"/>
      <c r="E68" s="312">
        <v>0.06</v>
      </c>
      <c r="F68" s="280"/>
      <c r="G68" s="280"/>
      <c r="H68" s="308"/>
      <c r="I68" s="280"/>
      <c r="J68" s="359" t="s">
        <v>433</v>
      </c>
      <c r="K68" s="360"/>
      <c r="L68" s="360"/>
      <c r="M68" s="360"/>
      <c r="N68" s="360"/>
      <c r="O68" s="360"/>
      <c r="P68" s="361"/>
      <c r="Q68" s="2"/>
      <c r="R68" s="2"/>
      <c r="S68" s="2"/>
      <c r="T68" s="2"/>
      <c r="U68" s="2"/>
      <c r="V68" s="2"/>
      <c r="W68" s="2"/>
      <c r="X68" s="2"/>
      <c r="Y68" s="2"/>
    </row>
    <row r="69" spans="1:25">
      <c r="A69" s="2"/>
      <c r="B69" s="18">
        <f t="shared" si="0"/>
        <v>2</v>
      </c>
      <c r="C69" s="307" t="s">
        <v>434</v>
      </c>
      <c r="D69" s="277"/>
      <c r="E69" s="312">
        <v>0.84</v>
      </c>
      <c r="F69" s="280"/>
      <c r="G69" s="280"/>
      <c r="H69" s="308"/>
      <c r="I69" s="280"/>
      <c r="J69" s="359" t="s">
        <v>435</v>
      </c>
      <c r="K69" s="360"/>
      <c r="L69" s="360"/>
      <c r="M69" s="360"/>
      <c r="N69" s="360"/>
      <c r="O69" s="360"/>
      <c r="P69" s="361"/>
      <c r="Q69" s="2"/>
      <c r="R69" s="2"/>
      <c r="S69" s="2"/>
      <c r="T69" s="2"/>
      <c r="U69" s="2"/>
      <c r="V69" s="2"/>
      <c r="W69" s="2"/>
      <c r="X69" s="2"/>
      <c r="Y69" s="2"/>
    </row>
    <row r="70" spans="1:25">
      <c r="A70" s="2"/>
      <c r="B70" s="18">
        <f t="shared" si="0"/>
        <v>2</v>
      </c>
      <c r="C70" s="307" t="s">
        <v>436</v>
      </c>
      <c r="D70" s="277"/>
      <c r="E70" s="312">
        <v>0.04</v>
      </c>
      <c r="F70" s="280"/>
      <c r="G70" s="280"/>
      <c r="H70" s="308"/>
      <c r="I70" s="280"/>
      <c r="J70" s="359" t="s">
        <v>437</v>
      </c>
      <c r="K70" s="360"/>
      <c r="L70" s="360"/>
      <c r="M70" s="360"/>
      <c r="N70" s="360"/>
      <c r="O70" s="360"/>
      <c r="P70" s="361"/>
      <c r="Q70" s="2"/>
      <c r="R70" s="2"/>
      <c r="S70" s="2"/>
      <c r="T70" s="2"/>
      <c r="U70" s="2"/>
      <c r="V70" s="2"/>
      <c r="W70" s="2"/>
      <c r="X70" s="2"/>
      <c r="Y70" s="2"/>
    </row>
    <row r="71" spans="1:25">
      <c r="A71" s="2"/>
      <c r="B71" s="18">
        <f t="shared" si="0"/>
        <v>2</v>
      </c>
      <c r="C71" s="307" t="s">
        <v>438</v>
      </c>
      <c r="D71" s="277"/>
      <c r="E71" s="312">
        <v>0.02</v>
      </c>
      <c r="F71" s="280"/>
      <c r="G71" s="280"/>
      <c r="H71" s="308"/>
      <c r="I71" s="280"/>
      <c r="J71" s="359" t="s">
        <v>439</v>
      </c>
      <c r="K71" s="360"/>
      <c r="L71" s="360"/>
      <c r="M71" s="360"/>
      <c r="N71" s="360"/>
      <c r="O71" s="360"/>
      <c r="P71" s="361"/>
      <c r="Q71" s="2"/>
      <c r="R71" s="2"/>
      <c r="S71" s="2"/>
      <c r="T71" s="2"/>
      <c r="U71" s="2"/>
      <c r="V71" s="2"/>
      <c r="W71" s="2"/>
      <c r="X71" s="2"/>
      <c r="Y71" s="2"/>
    </row>
    <row r="72" spans="1:25">
      <c r="A72" s="2"/>
      <c r="B72" s="18">
        <f t="shared" si="0"/>
        <v>7</v>
      </c>
      <c r="C72" s="307" t="s">
        <v>440</v>
      </c>
      <c r="D72" s="277"/>
      <c r="E72" s="312">
        <v>0.01</v>
      </c>
      <c r="F72" s="280"/>
      <c r="G72" s="280"/>
      <c r="H72" s="308"/>
      <c r="I72" s="280"/>
      <c r="J72" s="359" t="s">
        <v>441</v>
      </c>
      <c r="K72" s="360"/>
      <c r="L72" s="360"/>
      <c r="M72" s="360"/>
      <c r="N72" s="360"/>
      <c r="O72" s="360"/>
      <c r="P72" s="361"/>
      <c r="Q72" s="2"/>
      <c r="R72" s="2"/>
      <c r="S72" s="2"/>
      <c r="T72" s="2"/>
      <c r="U72" s="2"/>
      <c r="V72" s="2"/>
      <c r="W72" s="2"/>
      <c r="X72" s="2"/>
      <c r="Y72" s="2"/>
    </row>
    <row r="73" spans="1:25">
      <c r="A73" s="2"/>
      <c r="B73" s="18">
        <f t="shared" si="0"/>
        <v>3</v>
      </c>
      <c r="C73" s="307" t="s">
        <v>442</v>
      </c>
      <c r="D73" s="277"/>
      <c r="E73" s="312">
        <v>0.01</v>
      </c>
      <c r="F73" s="280"/>
      <c r="G73" s="280"/>
      <c r="H73" s="308"/>
      <c r="I73" s="280"/>
      <c r="J73" s="359" t="s">
        <v>443</v>
      </c>
      <c r="K73" s="360"/>
      <c r="L73" s="360"/>
      <c r="M73" s="360"/>
      <c r="N73" s="360"/>
      <c r="O73" s="360"/>
      <c r="P73" s="361"/>
      <c r="Q73" s="2"/>
      <c r="R73" s="2"/>
      <c r="S73" s="362"/>
      <c r="T73" s="362"/>
      <c r="U73" s="362"/>
      <c r="V73" s="362"/>
      <c r="W73" s="362"/>
      <c r="X73" s="362"/>
      <c r="Y73" s="362"/>
    </row>
    <row r="74" spans="1:25">
      <c r="A74" s="2"/>
      <c r="B74" s="18">
        <f t="shared" si="0"/>
        <v>4</v>
      </c>
      <c r="C74" s="307" t="s">
        <v>444</v>
      </c>
      <c r="D74" s="312" t="str">
        <f>C67&amp;"*"&amp;Conversions!$E$81</f>
        <v>N2*28.0134</v>
      </c>
      <c r="E74" s="312">
        <f>E67*Conversions!E81</f>
        <v>0.56026799999999999</v>
      </c>
      <c r="F74" s="280"/>
      <c r="G74" s="280"/>
      <c r="H74" s="317" t="s">
        <v>859</v>
      </c>
      <c r="I74" s="280"/>
      <c r="J74" s="359" t="s">
        <v>445</v>
      </c>
      <c r="K74" s="360"/>
      <c r="L74" s="360"/>
      <c r="M74" s="360"/>
      <c r="N74" s="360"/>
      <c r="O74" s="360"/>
      <c r="P74" s="361"/>
      <c r="Q74" s="2"/>
      <c r="R74" s="2"/>
      <c r="S74" s="358"/>
      <c r="T74" s="358"/>
      <c r="U74" s="358"/>
      <c r="V74" s="358"/>
      <c r="W74" s="358"/>
      <c r="X74" s="358"/>
      <c r="Y74" s="358"/>
    </row>
    <row r="75" spans="1:25">
      <c r="A75" s="2"/>
      <c r="B75" s="18">
        <f t="shared" si="0"/>
        <v>5</v>
      </c>
      <c r="C75" s="307" t="s">
        <v>446</v>
      </c>
      <c r="D75" s="312" t="str">
        <f>C68&amp;"*"&amp;Conversions!E82</f>
        <v>CO2*44.01</v>
      </c>
      <c r="E75" s="312">
        <f>E68*Conversions!E82</f>
        <v>2.6405999999999996</v>
      </c>
      <c r="F75" s="280"/>
      <c r="G75" s="280"/>
      <c r="H75" s="317" t="s">
        <v>859</v>
      </c>
      <c r="I75" s="280"/>
      <c r="J75" s="359" t="s">
        <v>447</v>
      </c>
      <c r="K75" s="360"/>
      <c r="L75" s="360"/>
      <c r="M75" s="360"/>
      <c r="N75" s="360"/>
      <c r="O75" s="360"/>
      <c r="P75" s="361"/>
      <c r="Q75" s="2"/>
      <c r="R75" s="2"/>
      <c r="S75" s="358"/>
      <c r="T75" s="358"/>
      <c r="U75" s="358"/>
      <c r="V75" s="358"/>
      <c r="W75" s="358"/>
      <c r="X75" s="358"/>
      <c r="Y75" s="358"/>
    </row>
    <row r="76" spans="1:25">
      <c r="A76" s="2"/>
      <c r="B76" s="18">
        <f t="shared" si="0"/>
        <v>4</v>
      </c>
      <c r="C76" s="307" t="s">
        <v>448</v>
      </c>
      <c r="D76" s="312" t="str">
        <f>C69&amp;"*"&amp;Conversions!E83</f>
        <v>C1*16.04</v>
      </c>
      <c r="E76" s="312">
        <f>E69*Conversions!E83</f>
        <v>13.473599999999999</v>
      </c>
      <c r="F76" s="280"/>
      <c r="G76" s="280"/>
      <c r="H76" s="317" t="s">
        <v>859</v>
      </c>
      <c r="I76" s="280"/>
      <c r="J76" s="359" t="s">
        <v>449</v>
      </c>
      <c r="K76" s="360"/>
      <c r="L76" s="360"/>
      <c r="M76" s="360"/>
      <c r="N76" s="360"/>
      <c r="O76" s="360"/>
      <c r="P76" s="361"/>
      <c r="Q76" s="2"/>
      <c r="R76" s="2"/>
      <c r="S76" s="358"/>
      <c r="T76" s="358"/>
      <c r="U76" s="358"/>
      <c r="V76" s="358"/>
      <c r="W76" s="358"/>
      <c r="X76" s="358"/>
      <c r="Y76" s="358"/>
    </row>
    <row r="77" spans="1:25">
      <c r="A77" s="2"/>
      <c r="B77" s="18">
        <f t="shared" si="0"/>
        <v>4</v>
      </c>
      <c r="C77" s="307" t="s">
        <v>450</v>
      </c>
      <c r="D77" s="312" t="str">
        <f>C70&amp;"*"&amp;Conversions!E84</f>
        <v>C2*30.07</v>
      </c>
      <c r="E77" s="312">
        <f>E70*Conversions!E84</f>
        <v>1.2028000000000001</v>
      </c>
      <c r="F77" s="280"/>
      <c r="G77" s="280"/>
      <c r="H77" s="317" t="s">
        <v>859</v>
      </c>
      <c r="I77" s="280"/>
      <c r="J77" s="359" t="s">
        <v>451</v>
      </c>
      <c r="K77" s="360"/>
      <c r="L77" s="360"/>
      <c r="M77" s="360"/>
      <c r="N77" s="360"/>
      <c r="O77" s="360"/>
      <c r="P77" s="361"/>
      <c r="Q77" s="2"/>
      <c r="R77" s="2"/>
      <c r="S77" s="358"/>
      <c r="T77" s="358"/>
      <c r="U77" s="358"/>
      <c r="V77" s="358"/>
      <c r="W77" s="358"/>
      <c r="X77" s="358"/>
      <c r="Y77" s="358"/>
    </row>
    <row r="78" spans="1:25">
      <c r="A78" s="2"/>
      <c r="B78" s="18">
        <f t="shared" si="0"/>
        <v>4</v>
      </c>
      <c r="C78" s="307" t="s">
        <v>452</v>
      </c>
      <c r="D78" s="312" t="str">
        <f>C71&amp;"*"&amp;Conversions!E85</f>
        <v>C3*44.1</v>
      </c>
      <c r="E78" s="312">
        <f>E71*Conversions!E85</f>
        <v>0.88200000000000001</v>
      </c>
      <c r="F78" s="280"/>
      <c r="G78" s="280"/>
      <c r="H78" s="317" t="s">
        <v>859</v>
      </c>
      <c r="I78" s="280"/>
      <c r="J78" s="359" t="s">
        <v>453</v>
      </c>
      <c r="K78" s="360"/>
      <c r="L78" s="360"/>
      <c r="M78" s="360"/>
      <c r="N78" s="360"/>
      <c r="O78" s="360"/>
      <c r="P78" s="361"/>
      <c r="Q78" s="2"/>
      <c r="R78" s="2"/>
      <c r="S78" s="358"/>
      <c r="T78" s="358"/>
      <c r="U78" s="358"/>
      <c r="V78" s="358"/>
      <c r="W78" s="358"/>
      <c r="X78" s="358"/>
      <c r="Y78" s="358"/>
    </row>
    <row r="79" spans="1:25">
      <c r="A79" s="2"/>
      <c r="B79" s="18">
        <f t="shared" si="0"/>
        <v>9</v>
      </c>
      <c r="C79" s="307" t="s">
        <v>454</v>
      </c>
      <c r="D79" s="312" t="str">
        <f>C72&amp;"*"&amp;Conversions!E86</f>
        <v>C4_plus*58.12</v>
      </c>
      <c r="E79" s="312">
        <f>E72*Conversions!E86</f>
        <v>0.58119999999999994</v>
      </c>
      <c r="F79" s="280"/>
      <c r="G79" s="280"/>
      <c r="H79" s="317" t="s">
        <v>859</v>
      </c>
      <c r="I79" s="280"/>
      <c r="J79" s="359" t="s">
        <v>455</v>
      </c>
      <c r="K79" s="360"/>
      <c r="L79" s="360"/>
      <c r="M79" s="360"/>
      <c r="N79" s="360"/>
      <c r="O79" s="360"/>
      <c r="P79" s="361"/>
      <c r="Q79" s="2"/>
      <c r="R79" s="2"/>
      <c r="S79" s="358"/>
      <c r="T79" s="358"/>
      <c r="U79" s="358"/>
      <c r="V79" s="358"/>
      <c r="W79" s="358"/>
      <c r="X79" s="358"/>
      <c r="Y79" s="358"/>
    </row>
    <row r="80" spans="1:25">
      <c r="A80" s="2"/>
      <c r="B80" s="18">
        <f t="shared" si="0"/>
        <v>5</v>
      </c>
      <c r="C80" s="307" t="s">
        <v>456</v>
      </c>
      <c r="D80" s="312" t="str">
        <f>C73&amp;"*"&amp;Conversions!E87</f>
        <v>H2S*34.0809</v>
      </c>
      <c r="E80" s="312">
        <f>E73*Conversions!E87</f>
        <v>0.34080900000000003</v>
      </c>
      <c r="F80" s="280"/>
      <c r="G80" s="280"/>
      <c r="H80" s="317" t="s">
        <v>859</v>
      </c>
      <c r="I80" s="280"/>
      <c r="J80" s="359" t="s">
        <v>457</v>
      </c>
      <c r="K80" s="360"/>
      <c r="L80" s="360"/>
      <c r="M80" s="360"/>
      <c r="N80" s="360"/>
      <c r="O80" s="360"/>
      <c r="P80" s="361"/>
      <c r="Q80" s="2"/>
      <c r="R80" s="2"/>
      <c r="S80" s="358"/>
      <c r="T80" s="358"/>
      <c r="U80" s="358"/>
      <c r="V80" s="358"/>
      <c r="W80" s="358"/>
      <c r="X80" s="358"/>
      <c r="Y80" s="358"/>
    </row>
    <row r="81" spans="1:25">
      <c r="A81" s="2"/>
      <c r="B81" s="18">
        <f t="shared" si="0"/>
        <v>12</v>
      </c>
      <c r="C81" s="307" t="s">
        <v>458</v>
      </c>
      <c r="D81" s="312" t="str">
        <f>C74&amp;"+"&amp;C75&amp;"+"&amp;C76&amp;"+"&amp;C77&amp;"+"&amp;C78&amp;"+"&amp;C79&amp;"+"&amp;C80</f>
        <v>N2_m+CO2_m+C1_m+C2_m+C3_m+C4_plus_m+H2S_m</v>
      </c>
      <c r="E81" s="312">
        <f>E74+E75+E76+E77+E78+E79+E80</f>
        <v>19.681276999999998</v>
      </c>
      <c r="F81" s="280"/>
      <c r="G81" s="280"/>
      <c r="H81" s="317" t="s">
        <v>859</v>
      </c>
      <c r="I81" s="280"/>
      <c r="J81" s="359" t="s">
        <v>459</v>
      </c>
      <c r="K81" s="360"/>
      <c r="L81" s="360"/>
      <c r="M81" s="360"/>
      <c r="N81" s="360"/>
      <c r="O81" s="360"/>
      <c r="P81" s="361"/>
      <c r="Q81" s="2"/>
      <c r="R81" s="2"/>
      <c r="S81" s="2"/>
      <c r="T81" s="2"/>
      <c r="U81" s="2"/>
      <c r="V81" s="2"/>
      <c r="W81" s="2"/>
      <c r="X81" s="2"/>
      <c r="Y81" s="2"/>
    </row>
    <row r="82" spans="1:25">
      <c r="A82" s="2"/>
      <c r="B82" s="18">
        <f t="shared" si="0"/>
        <v>4</v>
      </c>
      <c r="C82" s="307" t="s">
        <v>884</v>
      </c>
      <c r="D82" s="277" t="str">
        <f>C74&amp;"*"&amp;'Calculations Sheet'!F60</f>
        <v>N2_m*55.2422359282609</v>
      </c>
      <c r="E82" s="312">
        <f>E74*'Calculations Sheet'!F60</f>
        <v>30.95045703905485</v>
      </c>
      <c r="F82" s="280"/>
      <c r="G82" s="280"/>
      <c r="H82" s="317" t="s">
        <v>860</v>
      </c>
      <c r="I82" s="280"/>
      <c r="J82" s="359" t="s">
        <v>461</v>
      </c>
      <c r="K82" s="360"/>
      <c r="L82" s="360"/>
      <c r="M82" s="360"/>
      <c r="N82" s="360"/>
      <c r="O82" s="360"/>
      <c r="P82" s="361"/>
      <c r="Q82" s="2"/>
      <c r="R82" s="2"/>
      <c r="S82" s="358"/>
      <c r="T82" s="358"/>
      <c r="U82" s="358"/>
      <c r="V82" s="358"/>
      <c r="W82" s="358"/>
      <c r="X82" s="358"/>
      <c r="Y82" s="358"/>
    </row>
    <row r="83" spans="1:25">
      <c r="A83" s="2"/>
      <c r="B83" s="18">
        <f t="shared" si="0"/>
        <v>5</v>
      </c>
      <c r="C83" s="307" t="s">
        <v>885</v>
      </c>
      <c r="D83" s="277" t="str">
        <f>C75&amp;"*"&amp;'Calculations Sheet'!F61</f>
        <v>CO2_m*35.2588492732709</v>
      </c>
      <c r="E83" s="312">
        <f>E75*'Calculations Sheet'!F61</f>
        <v>93.104517390999035</v>
      </c>
      <c r="F83" s="280"/>
      <c r="G83" s="280"/>
      <c r="H83" s="317" t="s">
        <v>860</v>
      </c>
      <c r="I83" s="280"/>
      <c r="J83" s="359" t="s">
        <v>463</v>
      </c>
      <c r="K83" s="360"/>
      <c r="L83" s="360"/>
      <c r="M83" s="360"/>
      <c r="N83" s="360"/>
      <c r="O83" s="360"/>
      <c r="P83" s="361"/>
      <c r="Q83" s="2"/>
      <c r="R83" s="2"/>
      <c r="S83" s="358"/>
      <c r="T83" s="358"/>
      <c r="U83" s="358"/>
      <c r="V83" s="358"/>
      <c r="W83" s="358"/>
      <c r="X83" s="358"/>
      <c r="Y83" s="358"/>
    </row>
    <row r="84" spans="1:25">
      <c r="A84" s="2"/>
      <c r="B84" s="18">
        <f t="shared" si="0"/>
        <v>4</v>
      </c>
      <c r="C84" s="307" t="s">
        <v>886</v>
      </c>
      <c r="D84" s="277" t="str">
        <f>C76&amp;"*"&amp;'Calculations Sheet'!F62</f>
        <v>C1_m*96.531896984093</v>
      </c>
      <c r="E84" s="312">
        <f>E76*'Calculations Sheet'!F62</f>
        <v>1300.6321672048748</v>
      </c>
      <c r="F84" s="280"/>
      <c r="G84" s="280"/>
      <c r="H84" s="317" t="s">
        <v>860</v>
      </c>
      <c r="I84" s="280"/>
      <c r="J84" s="359" t="s">
        <v>465</v>
      </c>
      <c r="K84" s="360"/>
      <c r="L84" s="360"/>
      <c r="M84" s="360"/>
      <c r="N84" s="360"/>
      <c r="O84" s="360"/>
      <c r="P84" s="361"/>
      <c r="Q84" s="2"/>
      <c r="R84" s="2"/>
      <c r="S84" s="358"/>
      <c r="T84" s="358"/>
      <c r="U84" s="358"/>
      <c r="V84" s="358"/>
      <c r="W84" s="358"/>
      <c r="X84" s="358"/>
      <c r="Y84" s="358"/>
    </row>
    <row r="85" spans="1:25">
      <c r="A85" s="2"/>
      <c r="B85" s="18">
        <f t="shared" si="0"/>
        <v>4</v>
      </c>
      <c r="C85" s="307" t="s">
        <v>887</v>
      </c>
      <c r="D85" s="277" t="str">
        <f>C77&amp;"*"&amp;'Calculations Sheet'!F63</f>
        <v>C2_m*51.67043901446</v>
      </c>
      <c r="E85" s="312">
        <f>E77*'Calculations Sheet'!F63</f>
        <v>62.149204046592544</v>
      </c>
      <c r="F85" s="280"/>
      <c r="G85" s="280"/>
      <c r="H85" s="317" t="s">
        <v>860</v>
      </c>
      <c r="I85" s="280"/>
      <c r="J85" s="359" t="s">
        <v>467</v>
      </c>
      <c r="K85" s="360"/>
      <c r="L85" s="360"/>
      <c r="M85" s="360"/>
      <c r="N85" s="360"/>
      <c r="O85" s="360"/>
      <c r="P85" s="361"/>
      <c r="Q85" s="2"/>
      <c r="R85" s="2"/>
      <c r="S85" s="358"/>
      <c r="T85" s="358"/>
      <c r="U85" s="358"/>
      <c r="V85" s="358"/>
      <c r="W85" s="358"/>
      <c r="X85" s="358"/>
      <c r="Y85" s="358"/>
    </row>
    <row r="86" spans="1:25">
      <c r="A86" s="2"/>
      <c r="B86" s="18">
        <f t="shared" si="0"/>
        <v>4</v>
      </c>
      <c r="C86" s="307" t="s">
        <v>888</v>
      </c>
      <c r="D86" s="277" t="str">
        <f>C78&amp;"*"&amp;'Calculations Sheet'!F64</f>
        <v>C3_m*35.4222648183467</v>
      </c>
      <c r="E86" s="312">
        <f>E78*'Calculations Sheet'!F64</f>
        <v>31.242437569781817</v>
      </c>
      <c r="F86" s="280"/>
      <c r="G86" s="280"/>
      <c r="H86" s="317" t="s">
        <v>860</v>
      </c>
      <c r="I86" s="280"/>
      <c r="J86" s="359" t="s">
        <v>469</v>
      </c>
      <c r="K86" s="360"/>
      <c r="L86" s="360"/>
      <c r="M86" s="360"/>
      <c r="N86" s="360"/>
      <c r="O86" s="360"/>
      <c r="P86" s="361"/>
      <c r="Q86" s="2"/>
      <c r="R86" s="2"/>
      <c r="S86" s="358"/>
      <c r="T86" s="358"/>
      <c r="U86" s="358"/>
      <c r="V86" s="358"/>
      <c r="W86" s="358"/>
      <c r="X86" s="358"/>
      <c r="Y86" s="358"/>
    </row>
    <row r="87" spans="1:25">
      <c r="A87" s="2"/>
      <c r="B87" s="18">
        <f t="shared" si="0"/>
        <v>9</v>
      </c>
      <c r="C87" s="307" t="s">
        <v>889</v>
      </c>
      <c r="D87" s="277" t="str">
        <f>C79&amp;"*"&amp;'Calculations Sheet'!F65</f>
        <v>C4_plus_m*27.1736706383275</v>
      </c>
      <c r="E87" s="312">
        <f>E79*'Calculations Sheet'!F65</f>
        <v>15.793337374995943</v>
      </c>
      <c r="F87" s="280"/>
      <c r="G87" s="280"/>
      <c r="H87" s="317" t="s">
        <v>860</v>
      </c>
      <c r="I87" s="280"/>
      <c r="J87" s="359" t="s">
        <v>471</v>
      </c>
      <c r="K87" s="360"/>
      <c r="L87" s="360"/>
      <c r="M87" s="360"/>
      <c r="N87" s="360"/>
      <c r="O87" s="360"/>
      <c r="P87" s="361"/>
      <c r="Q87" s="2"/>
      <c r="R87" s="2"/>
      <c r="S87" s="358"/>
      <c r="T87" s="358"/>
      <c r="U87" s="358"/>
      <c r="V87" s="358"/>
      <c r="W87" s="358"/>
      <c r="X87" s="358"/>
      <c r="Y87" s="358"/>
    </row>
    <row r="88" spans="1:25">
      <c r="A88" s="2"/>
      <c r="B88" s="18">
        <f t="shared" si="0"/>
        <v>5</v>
      </c>
      <c r="C88" s="307" t="s">
        <v>890</v>
      </c>
      <c r="D88" s="277" t="str">
        <f>C80&amp;"*"&amp;'Calculations Sheet'!F66</f>
        <v>H2S_m*45.6085004614082</v>
      </c>
      <c r="E88" s="312">
        <f>E80*'Calculations Sheet'!F66</f>
        <v>15.543787433752071</v>
      </c>
      <c r="F88" s="280"/>
      <c r="G88" s="280"/>
      <c r="H88" s="317" t="s">
        <v>860</v>
      </c>
      <c r="I88" s="280"/>
      <c r="J88" s="359" t="s">
        <v>473</v>
      </c>
      <c r="K88" s="360"/>
      <c r="L88" s="360"/>
      <c r="M88" s="360"/>
      <c r="N88" s="360"/>
      <c r="O88" s="360"/>
      <c r="P88" s="361"/>
      <c r="Q88" s="2"/>
      <c r="R88" s="2"/>
      <c r="S88" s="358"/>
      <c r="T88" s="358"/>
      <c r="U88" s="358"/>
      <c r="V88" s="358"/>
      <c r="W88" s="358"/>
      <c r="X88" s="358"/>
      <c r="Y88" s="358"/>
    </row>
    <row r="89" spans="1:25">
      <c r="A89" s="2"/>
      <c r="B89" s="18">
        <f t="shared" si="0"/>
        <v>5</v>
      </c>
      <c r="C89" s="307" t="s">
        <v>891</v>
      </c>
      <c r="D89" s="312" t="str">
        <f>C82&amp;"+"&amp;C83&amp;"+"&amp;C84&amp;"+"&amp;C85&amp;"+"&amp;C86&amp;"+"&amp;C87&amp;"+"&amp;C88</f>
        <v>N2_R+CO2_R+C1_R+C2_R+C3_R+C4_plus_R+H2S_R</v>
      </c>
      <c r="E89" s="312">
        <f>E82+E83+E84+E85+E86+E87+E88</f>
        <v>1549.4159080600507</v>
      </c>
      <c r="F89" s="280"/>
      <c r="G89" s="280"/>
      <c r="H89" s="317" t="s">
        <v>860</v>
      </c>
      <c r="I89" s="280"/>
      <c r="J89" s="359" t="s">
        <v>475</v>
      </c>
      <c r="K89" s="360"/>
      <c r="L89" s="360"/>
      <c r="M89" s="360"/>
      <c r="N89" s="360"/>
      <c r="O89" s="360"/>
      <c r="P89" s="361"/>
      <c r="Q89" s="2"/>
      <c r="R89" s="2"/>
      <c r="S89" s="358"/>
      <c r="T89" s="358"/>
      <c r="U89" s="358"/>
      <c r="V89" s="358"/>
      <c r="W89" s="358"/>
      <c r="X89" s="358"/>
      <c r="Y89" s="358"/>
    </row>
    <row r="90" spans="1:25">
      <c r="A90" s="2"/>
      <c r="B90" s="18">
        <f t="shared" si="0"/>
        <v>10</v>
      </c>
      <c r="C90" s="315" t="s">
        <v>892</v>
      </c>
      <c r="D90" s="93" t="str">
        <f>C89&amp;"*"&amp;Conversions!$D$121&amp;"/"&amp;Conversions!$D$123&amp;"/"&amp;C81&amp;"/"&amp;Conversions!$D$124</f>
        <v>gas_R*527.67/2116.2168/gas_mass_sum/0.45359237</v>
      </c>
      <c r="E90" s="93">
        <f>E89*Conversions!$D$121/Conversions!$D$123/E81/Conversions!$D$124</f>
        <v>43.276411541213456</v>
      </c>
      <c r="F90" s="47"/>
      <c r="G90" s="47"/>
      <c r="H90" s="317" t="s">
        <v>857</v>
      </c>
      <c r="I90" s="47"/>
      <c r="J90" s="326"/>
      <c r="K90" s="327"/>
      <c r="L90" s="327"/>
      <c r="M90" s="327"/>
      <c r="N90" s="327"/>
      <c r="O90" s="327"/>
      <c r="P90" s="328"/>
      <c r="Q90" s="2"/>
      <c r="R90" s="2"/>
      <c r="S90" s="329"/>
      <c r="T90" s="329"/>
      <c r="U90" s="329"/>
      <c r="V90" s="329"/>
      <c r="W90" s="329"/>
      <c r="X90" s="329"/>
      <c r="Y90" s="329"/>
    </row>
    <row r="91" spans="1:25">
      <c r="A91" s="2"/>
      <c r="B91" s="18">
        <f t="shared" si="0"/>
        <v>9</v>
      </c>
      <c r="C91" s="307" t="s">
        <v>476</v>
      </c>
      <c r="D91" s="277" t="str">
        <f>C66&amp;"*"&amp;C81&amp;"/"&amp;C89&amp;"*"&amp;C27</f>
        <v>GOR*gas_mass_sum/gas_R*Production_vol</v>
      </c>
      <c r="E91" s="313">
        <f>E66*E27/E90</f>
        <v>31472.11035977245</v>
      </c>
      <c r="F91" s="280"/>
      <c r="G91" s="280"/>
      <c r="H91" s="308" t="s">
        <v>477</v>
      </c>
      <c r="I91" s="280"/>
      <c r="J91" s="359" t="s">
        <v>478</v>
      </c>
      <c r="K91" s="360"/>
      <c r="L91" s="360"/>
      <c r="M91" s="360"/>
      <c r="N91" s="360"/>
      <c r="O91" s="360"/>
      <c r="P91" s="361"/>
      <c r="Q91" s="2"/>
      <c r="R91" s="2"/>
      <c r="S91" s="358"/>
      <c r="T91" s="358"/>
      <c r="U91" s="358"/>
      <c r="V91" s="358"/>
      <c r="W91" s="358"/>
      <c r="X91" s="358"/>
      <c r="Y91" s="358"/>
    </row>
    <row r="92" spans="1:25">
      <c r="A92" s="2"/>
      <c r="B92" s="18">
        <f t="shared" si="0"/>
        <v>12</v>
      </c>
      <c r="C92" s="307" t="s">
        <v>504</v>
      </c>
      <c r="D92" s="277" t="str">
        <f>C91&amp;"+"&amp;C64</f>
        <v>assoc_gas+inj_gas_mass</v>
      </c>
      <c r="E92" s="313">
        <f>E91+E64</f>
        <v>304296.56747251586</v>
      </c>
      <c r="F92" s="280"/>
      <c r="G92" s="280"/>
      <c r="H92" s="308" t="s">
        <v>477</v>
      </c>
      <c r="I92" s="280"/>
      <c r="J92" s="309" t="s">
        <v>505</v>
      </c>
      <c r="K92" s="310"/>
      <c r="L92" s="310"/>
      <c r="M92" s="310"/>
      <c r="N92" s="310"/>
      <c r="O92" s="310"/>
      <c r="P92" s="311"/>
      <c r="Q92" s="2"/>
      <c r="R92" s="2"/>
      <c r="S92" s="285"/>
      <c r="T92" s="285"/>
      <c r="U92" s="285"/>
      <c r="V92" s="285"/>
      <c r="W92" s="285"/>
      <c r="X92" s="285"/>
      <c r="Y92" s="285"/>
    </row>
    <row r="93" spans="1:25">
      <c r="A93" s="2"/>
      <c r="B93" s="18">
        <f t="shared" si="0"/>
        <v>13</v>
      </c>
      <c r="C93" s="307" t="s">
        <v>479</v>
      </c>
      <c r="D93" s="277" t="str">
        <f>C26&amp;"*"&amp;C27</f>
        <v>Density_oil*Production_vol</v>
      </c>
      <c r="E93" s="313">
        <f>E26*E27</f>
        <v>208947.6987521238</v>
      </c>
      <c r="F93" s="280"/>
      <c r="G93" s="280"/>
      <c r="H93" s="308" t="s">
        <v>477</v>
      </c>
      <c r="I93" s="280"/>
      <c r="J93" s="359" t="s">
        <v>480</v>
      </c>
      <c r="K93" s="360"/>
      <c r="L93" s="360"/>
      <c r="M93" s="360"/>
      <c r="N93" s="360"/>
      <c r="O93" s="360"/>
      <c r="P93" s="361"/>
      <c r="Q93" s="2"/>
      <c r="R93" s="2"/>
      <c r="S93" s="2"/>
      <c r="T93" s="2"/>
      <c r="U93" s="2"/>
      <c r="V93" s="2"/>
      <c r="W93" s="2"/>
      <c r="X93" s="2"/>
      <c r="Y93" s="2"/>
    </row>
    <row r="94" spans="1:25">
      <c r="A94" s="2"/>
      <c r="B94" s="18">
        <f t="shared" si="0"/>
        <v>15</v>
      </c>
      <c r="C94" s="307" t="s">
        <v>481</v>
      </c>
      <c r="D94" s="277" t="str">
        <f>C28&amp;"*"&amp;C27&amp;"*"&amp;C30&amp;"*1000/"&amp;C25</f>
        <v>WOR*Production_vol*SG_water*1000/bbl_m3</v>
      </c>
      <c r="E94" s="313">
        <f>E28*E27*E30*1000/E25</f>
        <v>1268341.2174341043</v>
      </c>
      <c r="F94" s="280"/>
      <c r="G94" s="280"/>
      <c r="H94" s="308" t="s">
        <v>477</v>
      </c>
      <c r="I94" s="280"/>
      <c r="J94" s="359" t="s">
        <v>482</v>
      </c>
      <c r="K94" s="360"/>
      <c r="L94" s="360"/>
      <c r="M94" s="360"/>
      <c r="N94" s="360"/>
      <c r="O94" s="360"/>
      <c r="P94" s="361"/>
      <c r="Q94" s="2"/>
      <c r="R94" s="2"/>
      <c r="S94" s="2"/>
      <c r="T94" s="2"/>
      <c r="U94" s="2"/>
      <c r="V94" s="2"/>
      <c r="W94" s="2"/>
      <c r="X94" s="2"/>
      <c r="Y94" s="2"/>
    </row>
    <row r="95" spans="1:25">
      <c r="A95" s="2"/>
      <c r="B95" s="18">
        <f t="shared" si="0"/>
        <v>8</v>
      </c>
      <c r="C95" s="307" t="s">
        <v>483</v>
      </c>
      <c r="D95" s="277" t="str">
        <f>C92&amp;"+"&amp;C93&amp;"+"&amp;C94</f>
        <v>combined_gas+oil_mass_flow+water_mass_flow</v>
      </c>
      <c r="E95" s="313">
        <f>E92+E93+E94</f>
        <v>1781585.483658744</v>
      </c>
      <c r="F95" s="280"/>
      <c r="G95" s="280"/>
      <c r="H95" s="308" t="s">
        <v>477</v>
      </c>
      <c r="I95" s="280"/>
      <c r="J95" s="359" t="s">
        <v>484</v>
      </c>
      <c r="K95" s="360"/>
      <c r="L95" s="360"/>
      <c r="M95" s="360"/>
      <c r="N95" s="360"/>
      <c r="O95" s="360"/>
      <c r="P95" s="361"/>
      <c r="Q95" s="2"/>
      <c r="R95" s="2"/>
      <c r="S95" s="2"/>
      <c r="T95" s="2"/>
      <c r="U95" s="2"/>
      <c r="V95" s="2"/>
      <c r="W95" s="2"/>
      <c r="X95" s="2"/>
      <c r="Y95" s="2"/>
    </row>
    <row r="96" spans="1:25">
      <c r="A96" s="2"/>
      <c r="B96" s="18">
        <f t="shared" si="0"/>
        <v>9</v>
      </c>
      <c r="C96" s="315" t="s">
        <v>548</v>
      </c>
      <c r="D96" s="45"/>
      <c r="E96" s="316">
        <v>0.5</v>
      </c>
      <c r="F96" s="47"/>
      <c r="G96" s="47"/>
      <c r="H96" s="317"/>
      <c r="I96" s="47"/>
      <c r="J96" s="359" t="s">
        <v>549</v>
      </c>
      <c r="K96" s="360"/>
      <c r="L96" s="360"/>
      <c r="M96" s="360"/>
      <c r="N96" s="360"/>
      <c r="O96" s="360"/>
      <c r="P96" s="361"/>
      <c r="Q96" s="2"/>
      <c r="R96" s="2"/>
      <c r="S96" s="2"/>
      <c r="T96" s="2"/>
      <c r="U96" s="2"/>
      <c r="V96" s="2"/>
      <c r="W96" s="2"/>
      <c r="X96" s="2"/>
      <c r="Y96" s="2"/>
    </row>
    <row r="97" spans="1:25">
      <c r="A97" s="2"/>
      <c r="B97" s="18">
        <f t="shared" si="0"/>
        <v>14</v>
      </c>
      <c r="C97" s="315" t="s">
        <v>845</v>
      </c>
      <c r="D97" s="45"/>
      <c r="E97" s="306">
        <v>100</v>
      </c>
      <c r="F97" s="47"/>
      <c r="G97" s="47"/>
      <c r="H97" s="317" t="s">
        <v>410</v>
      </c>
      <c r="I97" s="47">
        <v>1</v>
      </c>
      <c r="J97" s="359" t="s">
        <v>846</v>
      </c>
      <c r="K97" s="360"/>
      <c r="L97" s="360"/>
      <c r="M97" s="360"/>
      <c r="N97" s="360"/>
      <c r="O97" s="360"/>
      <c r="P97" s="361"/>
      <c r="Q97" s="2"/>
      <c r="R97" s="2"/>
      <c r="S97" s="2"/>
      <c r="T97" s="2"/>
      <c r="U97" s="2"/>
      <c r="V97" s="2"/>
      <c r="W97" s="2"/>
      <c r="X97" s="2"/>
      <c r="Y97" s="2"/>
    </row>
    <row r="98" spans="1:25">
      <c r="A98" s="2"/>
      <c r="B98" s="18">
        <f t="shared" si="0"/>
        <v>14</v>
      </c>
      <c r="C98" s="315" t="s">
        <v>547</v>
      </c>
      <c r="D98" s="45" t="s">
        <v>847</v>
      </c>
      <c r="E98" s="306">
        <f>E96*E32+E97+14.7</f>
        <v>893.2</v>
      </c>
      <c r="F98" s="47"/>
      <c r="G98" s="47"/>
      <c r="H98" s="317" t="s">
        <v>410</v>
      </c>
      <c r="I98" s="47"/>
      <c r="J98" s="359" t="s">
        <v>554</v>
      </c>
      <c r="K98" s="360"/>
      <c r="L98" s="360"/>
      <c r="M98" s="360"/>
      <c r="N98" s="360"/>
      <c r="O98" s="360"/>
      <c r="P98" s="361"/>
      <c r="Q98" s="2"/>
      <c r="R98" s="2"/>
      <c r="S98" s="2"/>
      <c r="T98" s="2"/>
      <c r="U98" s="2"/>
      <c r="V98" s="2"/>
      <c r="W98" s="2"/>
      <c r="X98" s="2"/>
      <c r="Y98" s="2"/>
    </row>
    <row r="99" spans="1:25">
      <c r="A99" s="2"/>
      <c r="B99" s="18">
        <f t="shared" si="0"/>
        <v>4</v>
      </c>
      <c r="C99" s="315" t="s">
        <v>550</v>
      </c>
      <c r="D99" s="45"/>
      <c r="E99" s="306">
        <v>125</v>
      </c>
      <c r="F99" s="47"/>
      <c r="G99" s="47"/>
      <c r="H99" s="317" t="s">
        <v>541</v>
      </c>
      <c r="I99" s="47"/>
      <c r="J99" s="359" t="s">
        <v>553</v>
      </c>
      <c r="K99" s="360"/>
      <c r="L99" s="360"/>
      <c r="M99" s="360"/>
      <c r="N99" s="360"/>
      <c r="O99" s="360"/>
      <c r="P99" s="361"/>
      <c r="Q99" s="2"/>
      <c r="R99" s="2"/>
      <c r="S99" s="2"/>
      <c r="T99" s="2"/>
      <c r="U99" s="2"/>
      <c r="V99" s="2"/>
      <c r="W99" s="2"/>
      <c r="X99" s="2"/>
      <c r="Y99" s="2"/>
    </row>
    <row r="100" spans="1:25">
      <c r="A100" s="2"/>
      <c r="B100" s="18">
        <f t="shared" si="0"/>
        <v>10</v>
      </c>
      <c r="C100" s="315" t="s">
        <v>555</v>
      </c>
      <c r="D100" s="45"/>
      <c r="E100" s="306">
        <v>2</v>
      </c>
      <c r="F100" s="47"/>
      <c r="G100" s="47"/>
      <c r="H100" s="317"/>
      <c r="I100" s="47"/>
      <c r="J100" s="359" t="s">
        <v>556</v>
      </c>
      <c r="K100" s="360"/>
      <c r="L100" s="360"/>
      <c r="M100" s="360"/>
      <c r="N100" s="360"/>
      <c r="O100" s="360"/>
      <c r="P100" s="361"/>
      <c r="Q100" s="2"/>
      <c r="R100" s="2"/>
      <c r="S100" s="2"/>
      <c r="T100" s="2"/>
      <c r="U100" s="2"/>
      <c r="V100" s="2"/>
      <c r="W100" s="2"/>
      <c r="X100" s="2"/>
      <c r="Y100" s="2"/>
    </row>
    <row r="101" spans="1:25">
      <c r="A101" s="2"/>
      <c r="B101" s="18">
        <f t="shared" si="0"/>
        <v>11</v>
      </c>
      <c r="C101" s="315" t="s">
        <v>557</v>
      </c>
      <c r="D101" s="45" t="str">
        <f>"("&amp;C98&amp;"/"&amp;C99&amp;")^(1/"&amp;C100&amp;")"</f>
        <v>(disch_pressure/npsh)^(1/num_stages)</v>
      </c>
      <c r="E101" s="316">
        <f>(E98/E99)^(1/E100)</f>
        <v>2.6731255114565795</v>
      </c>
      <c r="F101" s="47"/>
      <c r="G101" s="47"/>
      <c r="H101" s="317"/>
      <c r="I101" s="47"/>
      <c r="J101" s="359" t="s">
        <v>675</v>
      </c>
      <c r="K101" s="360"/>
      <c r="L101" s="360"/>
      <c r="M101" s="360"/>
      <c r="N101" s="360"/>
      <c r="O101" s="360"/>
      <c r="P101" s="361"/>
      <c r="Q101" s="2"/>
      <c r="R101" s="2"/>
      <c r="S101" s="2"/>
      <c r="T101" s="2"/>
      <c r="U101" s="2"/>
      <c r="V101" s="2"/>
      <c r="W101" s="2"/>
      <c r="X101" s="2"/>
      <c r="Y101" s="2"/>
    </row>
    <row r="102" spans="1:25">
      <c r="A102" s="2"/>
      <c r="B102" s="18">
        <f t="shared" si="0"/>
        <v>11</v>
      </c>
      <c r="C102" s="315" t="s">
        <v>559</v>
      </c>
      <c r="D102" s="45"/>
      <c r="E102" s="318">
        <f>'Calculations Sheet'!F57</f>
        <v>1.2964118504397959</v>
      </c>
      <c r="F102" s="47">
        <v>1.2</v>
      </c>
      <c r="G102" s="47">
        <v>1.45</v>
      </c>
      <c r="H102" s="317"/>
      <c r="I102" s="47"/>
      <c r="J102" s="359" t="s">
        <v>676</v>
      </c>
      <c r="K102" s="360"/>
      <c r="L102" s="360"/>
      <c r="M102" s="360"/>
      <c r="N102" s="360"/>
      <c r="O102" s="360"/>
      <c r="P102" s="361"/>
      <c r="Q102" s="2"/>
      <c r="R102" s="2"/>
      <c r="S102" s="2"/>
      <c r="T102" s="2"/>
      <c r="U102" s="2"/>
      <c r="V102" s="2"/>
      <c r="W102" s="2"/>
      <c r="X102" s="2"/>
      <c r="Y102" s="2"/>
    </row>
    <row r="103" spans="1:25">
      <c r="A103" s="2"/>
      <c r="B103" s="18">
        <f t="shared" si="0"/>
        <v>11</v>
      </c>
      <c r="C103" s="315" t="s">
        <v>558</v>
      </c>
      <c r="D103" s="45"/>
      <c r="E103" s="306">
        <v>196.7</v>
      </c>
      <c r="F103" s="47"/>
      <c r="G103" s="47"/>
      <c r="H103" s="317" t="s">
        <v>540</v>
      </c>
      <c r="I103" s="47"/>
      <c r="J103" s="359" t="s">
        <v>677</v>
      </c>
      <c r="K103" s="360"/>
      <c r="L103" s="360"/>
      <c r="M103" s="360"/>
      <c r="N103" s="360"/>
      <c r="O103" s="360"/>
      <c r="P103" s="361"/>
      <c r="Q103" s="2"/>
      <c r="R103" s="2"/>
      <c r="S103" s="2"/>
      <c r="T103" s="2"/>
      <c r="U103" s="2"/>
      <c r="V103" s="2"/>
      <c r="W103" s="2"/>
      <c r="X103" s="2"/>
      <c r="Y103" s="2"/>
    </row>
    <row r="104" spans="1:25" ht="44.25" customHeight="1">
      <c r="A104" s="2"/>
      <c r="B104" s="18">
        <f t="shared" si="0"/>
        <v>11</v>
      </c>
      <c r="C104" s="315" t="s">
        <v>560</v>
      </c>
      <c r="D104" s="45" t="str">
        <f>"(1*(1*(1*(1*("&amp;C103&amp;"+460)*("&amp;$C$101&amp;"^(1*("&amp;$C$102&amp;"-1)/"&amp;$C$102&amp;")))-460)-"&amp;C103&amp;")*0.2+"&amp;C103&amp;")*IF("&amp;$C$100&amp;"-1&lt;=0;0;1)"</f>
        <v>(1*(1*(1*(1*(stage1_in_T+460)*(press_ratio^(1*(ratio_cp_cv-1)/ratio_cp_cv)))-460)-stage1_in_T)*0.2+stage1_in_T)*IF(num_stages-1&lt;=0;0;1)</v>
      </c>
      <c r="E104" s="306">
        <f>(1*(1*(1*(1*(E103+460)*($E$101^(1*($E$102-1)/$E$102)))-460)-E103)*0.2+E103)*IF($E$100-1&lt;=0,0,1)</f>
        <v>229.80883341315604</v>
      </c>
      <c r="F104" s="47"/>
      <c r="G104" s="47"/>
      <c r="H104" s="317" t="s">
        <v>540</v>
      </c>
      <c r="I104" s="47"/>
      <c r="J104" s="359" t="s">
        <v>678</v>
      </c>
      <c r="K104" s="360"/>
      <c r="L104" s="360"/>
      <c r="M104" s="360"/>
      <c r="N104" s="360"/>
      <c r="O104" s="360"/>
      <c r="P104" s="361"/>
      <c r="Q104" s="2"/>
      <c r="R104" s="2"/>
      <c r="S104" s="2"/>
      <c r="T104" s="2"/>
      <c r="U104" s="2"/>
      <c r="V104" s="2"/>
      <c r="W104" s="2"/>
      <c r="X104" s="2"/>
      <c r="Y104" s="2"/>
    </row>
    <row r="105" spans="1:25" ht="45.75" customHeight="1">
      <c r="A105" s="2"/>
      <c r="B105" s="18">
        <f t="shared" si="0"/>
        <v>11</v>
      </c>
      <c r="C105" s="315" t="s">
        <v>561</v>
      </c>
      <c r="D105" s="45" t="str">
        <f>"(1*(1*(1*(1*("&amp;C104&amp;"+460)*("&amp;$C$101&amp;"^(1*("&amp;$C$102&amp;"-1)/"&amp;$C$102&amp;")))-460)-"&amp;C104&amp;")*0.2+"&amp;C104&amp;")*IF("&amp;$C$100&amp;"-2&lt;=0;0;1)"</f>
        <v>(1*(1*(1*(1*(stage2_in_T+460)*(press_ratio^(1*(ratio_cp_cv-1)/ratio_cp_cv)))-460)-stage2_in_T)*0.2+stage2_in_T)*IF(num_stages-2&lt;=0;0;1)</v>
      </c>
      <c r="E105" s="306">
        <f>(((((E104+460)*($E$101^(($E$102-1)/$E$102)))-460)-E104)*0.2+E104)*IF($E$100-2&lt;=0,0,1)</f>
        <v>0</v>
      </c>
      <c r="F105" s="47"/>
      <c r="G105" s="47"/>
      <c r="H105" s="317" t="s">
        <v>540</v>
      </c>
      <c r="I105" s="47"/>
      <c r="J105" s="359" t="s">
        <v>679</v>
      </c>
      <c r="K105" s="360"/>
      <c r="L105" s="360"/>
      <c r="M105" s="360"/>
      <c r="N105" s="360"/>
      <c r="O105" s="360"/>
      <c r="P105" s="361"/>
      <c r="Q105" s="2"/>
      <c r="R105" s="2"/>
      <c r="S105" s="2"/>
      <c r="T105" s="2"/>
      <c r="U105" s="2"/>
      <c r="V105" s="2"/>
      <c r="W105" s="2"/>
      <c r="X105" s="2"/>
      <c r="Y105" s="2"/>
    </row>
    <row r="106" spans="1:25" ht="48" customHeight="1">
      <c r="A106" s="2"/>
      <c r="B106" s="18">
        <f t="shared" si="0"/>
        <v>11</v>
      </c>
      <c r="C106" s="315" t="s">
        <v>562</v>
      </c>
      <c r="D106" s="45" t="str">
        <f>"(1*(1*(1*(1*("&amp;C105&amp;"+460)*("&amp;$C$101&amp;"^(1*("&amp;$C$102&amp;"-1)/"&amp;$C$102&amp;")))-460)-"&amp;C105&amp;")*0.2+"&amp;C105&amp;")*IF("&amp;$C$100&amp;"-3&lt;=0;0;1)"</f>
        <v>(1*(1*(1*(1*(stage3_in_T+460)*(press_ratio^(1*(ratio_cp_cv-1)/ratio_cp_cv)))-460)-stage3_in_T)*0.2+stage3_in_T)*IF(num_stages-3&lt;=0;0;1)</v>
      </c>
      <c r="E106" s="306">
        <f>(((((E105+460)*($E$101^(($E$102-1)/$E$102)))-460)-E105)*0.2+E105)*IF($E$100-3&lt;=0,0,1)</f>
        <v>0</v>
      </c>
      <c r="F106" s="47"/>
      <c r="G106" s="47"/>
      <c r="H106" s="317" t="s">
        <v>540</v>
      </c>
      <c r="I106" s="47"/>
      <c r="J106" s="359" t="s">
        <v>680</v>
      </c>
      <c r="K106" s="360"/>
      <c r="L106" s="360"/>
      <c r="M106" s="360"/>
      <c r="N106" s="360"/>
      <c r="O106" s="360"/>
      <c r="P106" s="361"/>
      <c r="Q106" s="2"/>
      <c r="R106" s="2"/>
      <c r="S106" s="2"/>
      <c r="T106" s="2"/>
      <c r="U106" s="2"/>
      <c r="V106" s="2"/>
      <c r="W106" s="2"/>
      <c r="X106" s="2"/>
      <c r="Y106" s="2"/>
    </row>
    <row r="107" spans="1:25" ht="44.25" customHeight="1">
      <c r="A107" s="2"/>
      <c r="B107" s="18">
        <f t="shared" si="0"/>
        <v>11</v>
      </c>
      <c r="C107" s="315" t="s">
        <v>563</v>
      </c>
      <c r="D107" s="45" t="str">
        <f>"(1*(1*(1*(1*("&amp;C106&amp;"+460)*("&amp;$C$101&amp;"^(1*("&amp;$C$102&amp;"-1)/"&amp;$C$102&amp;")))-460)-"&amp;C106&amp;")*0.2+"&amp;C106&amp;")*IF("&amp;$C$100&amp;"-4&lt;=0;0;1)"</f>
        <v>(1*(1*(1*(1*(stage4_in_T+460)*(press_ratio^(1*(ratio_cp_cv-1)/ratio_cp_cv)))-460)-stage4_in_T)*0.2+stage4_in_T)*IF(num_stages-4&lt;=0;0;1)</v>
      </c>
      <c r="E107" s="306">
        <f>(((((E106+460)*($E$101^(($E$102-1)/$E$102)))-460)-E106)*0.2+E106)*IF($E$100-4&lt;=0,0,1)</f>
        <v>0</v>
      </c>
      <c r="F107" s="47"/>
      <c r="G107" s="47"/>
      <c r="H107" s="317" t="s">
        <v>540</v>
      </c>
      <c r="I107" s="47"/>
      <c r="J107" s="359" t="s">
        <v>681</v>
      </c>
      <c r="K107" s="360"/>
      <c r="L107" s="360"/>
      <c r="M107" s="360"/>
      <c r="N107" s="360"/>
      <c r="O107" s="360"/>
      <c r="P107" s="361"/>
      <c r="Q107" s="2"/>
      <c r="R107" s="2"/>
      <c r="S107" s="2"/>
      <c r="T107" s="2"/>
      <c r="U107" s="2"/>
      <c r="V107" s="2"/>
      <c r="W107" s="2"/>
      <c r="X107" s="2"/>
      <c r="Y107" s="2"/>
    </row>
    <row r="108" spans="1:25">
      <c r="A108" s="2"/>
      <c r="B108" s="18">
        <f t="shared" si="0"/>
        <v>8</v>
      </c>
      <c r="C108" s="315" t="s">
        <v>564</v>
      </c>
      <c r="D108" s="45"/>
      <c r="E108" s="318">
        <v>0.75</v>
      </c>
      <c r="F108" s="47"/>
      <c r="G108" s="47"/>
      <c r="H108" s="317"/>
      <c r="I108" s="47"/>
      <c r="J108" s="359" t="s">
        <v>565</v>
      </c>
      <c r="K108" s="360"/>
      <c r="L108" s="360"/>
      <c r="M108" s="360"/>
      <c r="N108" s="360"/>
      <c r="O108" s="360"/>
      <c r="P108" s="361"/>
      <c r="Q108" s="2"/>
      <c r="R108" s="2"/>
      <c r="S108" s="2"/>
      <c r="T108" s="2"/>
      <c r="U108" s="2"/>
      <c r="V108" s="2"/>
      <c r="W108" s="2"/>
      <c r="X108" s="2"/>
      <c r="Y108" s="2"/>
    </row>
    <row r="109" spans="1:25">
      <c r="A109" s="2"/>
      <c r="B109" s="18">
        <f t="shared" si="0"/>
        <v>13</v>
      </c>
      <c r="C109" s="315" t="s">
        <v>895</v>
      </c>
      <c r="D109" s="45" t="str">
        <f>"inj_gas_R*"&amp;Conversions!D125&amp;"/injgas_mass_sum"</f>
        <v>inj_gas_R*2.1043771043771E-08/injgas_mass_sum</v>
      </c>
      <c r="E109" s="105">
        <f>E62*Conversions!$D$125/E54</f>
        <v>1.9889635792229124E-6</v>
      </c>
      <c r="F109" s="47"/>
      <c r="G109" s="47"/>
      <c r="H109" s="317" t="s">
        <v>898</v>
      </c>
      <c r="I109" s="47"/>
      <c r="J109" s="359" t="s">
        <v>899</v>
      </c>
      <c r="K109" s="360"/>
      <c r="L109" s="360"/>
      <c r="M109" s="360"/>
      <c r="N109" s="360"/>
      <c r="O109" s="360"/>
      <c r="P109" s="361"/>
      <c r="Q109" s="2"/>
      <c r="R109" s="2"/>
      <c r="S109" s="2"/>
      <c r="T109" s="2"/>
      <c r="U109" s="2"/>
      <c r="V109" s="2"/>
      <c r="W109" s="2"/>
      <c r="X109" s="2"/>
      <c r="Y109" s="2"/>
    </row>
    <row r="110" spans="1:25">
      <c r="A110" s="2"/>
      <c r="B110" s="18">
        <f t="shared" si="0"/>
        <v>12</v>
      </c>
      <c r="C110" s="315" t="s">
        <v>896</v>
      </c>
      <c r="D110" s="45" t="str">
        <f>"1/inj_gas_sp_vol/"&amp;Conversions!D124&amp;"*10^6"</f>
        <v>1/inj_gas_sp_vol/0.45359237*10^6</v>
      </c>
      <c r="E110" s="318">
        <f>1/E63/Conversions!D124*10^6</f>
        <v>42432.096645105128</v>
      </c>
      <c r="F110" s="47"/>
      <c r="G110" s="47"/>
      <c r="H110" s="317" t="s">
        <v>897</v>
      </c>
      <c r="I110" s="47"/>
      <c r="J110" s="359" t="s">
        <v>900</v>
      </c>
      <c r="K110" s="360"/>
      <c r="L110" s="360"/>
      <c r="M110" s="360"/>
      <c r="N110" s="360"/>
      <c r="O110" s="360"/>
      <c r="P110" s="361"/>
      <c r="Q110" s="2"/>
      <c r="R110" s="2"/>
      <c r="S110" s="2"/>
      <c r="T110" s="2"/>
      <c r="U110" s="2"/>
      <c r="V110" s="2"/>
      <c r="W110" s="2"/>
      <c r="X110" s="2"/>
      <c r="Y110" s="2"/>
    </row>
    <row r="111" spans="1:25" ht="39.75" customHeight="1">
      <c r="A111" s="2"/>
      <c r="B111" s="18">
        <f t="shared" si="0"/>
        <v>8</v>
      </c>
      <c r="C111" s="315" t="s">
        <v>568</v>
      </c>
      <c r="D111" s="45" t="s">
        <v>901</v>
      </c>
      <c r="E111" s="306">
        <f>$E$102/($E$102-1)*$E$109*$E$110*(E103+460)*($E$101^(($E$102-1)/$E$102)-1)*IF($E$100-0&lt;=0,0,1)</f>
        <v>61.105828225240408</v>
      </c>
      <c r="F111" s="47"/>
      <c r="G111" s="47"/>
      <c r="H111" s="317" t="s">
        <v>566</v>
      </c>
      <c r="I111" s="47"/>
      <c r="J111" s="359" t="s">
        <v>682</v>
      </c>
      <c r="K111" s="360"/>
      <c r="L111" s="360"/>
      <c r="M111" s="360"/>
      <c r="N111" s="360"/>
      <c r="O111" s="360"/>
      <c r="P111" s="361"/>
      <c r="Q111" s="2"/>
      <c r="R111" s="2"/>
      <c r="S111" s="2"/>
      <c r="T111" s="2"/>
      <c r="U111" s="2"/>
      <c r="V111" s="2"/>
      <c r="W111" s="2"/>
      <c r="X111" s="2"/>
      <c r="Y111" s="2"/>
    </row>
    <row r="112" spans="1:25" ht="39">
      <c r="A112" s="2"/>
      <c r="B112" s="18"/>
      <c r="C112" s="315" t="s">
        <v>569</v>
      </c>
      <c r="D112" s="45" t="s">
        <v>902</v>
      </c>
      <c r="E112" s="306">
        <f>$E$102/($E$102-1)*$E$109*$E$110*(E104+460)*($E$101^(($E$102-1)/$E$102)-1)*IF($E$100-1&lt;=0,0,1)</f>
        <v>64.18659979107322</v>
      </c>
      <c r="F112" s="47"/>
      <c r="G112" s="47"/>
      <c r="H112" s="317" t="s">
        <v>566</v>
      </c>
      <c r="I112" s="47"/>
      <c r="J112" s="359" t="s">
        <v>683</v>
      </c>
      <c r="K112" s="360"/>
      <c r="L112" s="360"/>
      <c r="M112" s="360"/>
      <c r="N112" s="360"/>
      <c r="O112" s="360"/>
      <c r="P112" s="361"/>
      <c r="Q112" s="2"/>
      <c r="R112" s="2"/>
      <c r="S112" s="2"/>
      <c r="T112" s="2"/>
      <c r="U112" s="2"/>
      <c r="V112" s="2"/>
      <c r="W112" s="2"/>
      <c r="X112" s="2"/>
      <c r="Y112" s="2"/>
    </row>
    <row r="113" spans="1:25" ht="39">
      <c r="A113" s="2"/>
      <c r="B113" s="18"/>
      <c r="C113" s="315" t="s">
        <v>570</v>
      </c>
      <c r="D113" s="45" t="s">
        <v>903</v>
      </c>
      <c r="E113" s="306">
        <f>$E$102/($E$102-1)*$E$109*$E$110*(E105+460)*($E$101^(($E$102-1)/$E$102)-1)*IF($E$100-2&lt;=0,0,1)</f>
        <v>0</v>
      </c>
      <c r="F113" s="47"/>
      <c r="G113" s="47"/>
      <c r="H113" s="317" t="s">
        <v>566</v>
      </c>
      <c r="I113" s="47"/>
      <c r="J113" s="359" t="s">
        <v>684</v>
      </c>
      <c r="K113" s="360"/>
      <c r="L113" s="360"/>
      <c r="M113" s="360"/>
      <c r="N113" s="360"/>
      <c r="O113" s="360"/>
      <c r="P113" s="361"/>
      <c r="Q113" s="2"/>
      <c r="R113" s="2"/>
      <c r="S113" s="2"/>
      <c r="T113" s="2"/>
      <c r="U113" s="2"/>
      <c r="V113" s="2"/>
      <c r="W113" s="2"/>
      <c r="X113" s="2"/>
      <c r="Y113" s="2"/>
    </row>
    <row r="114" spans="1:25" ht="39">
      <c r="A114" s="2"/>
      <c r="B114" s="18">
        <f t="shared" si="0"/>
        <v>8</v>
      </c>
      <c r="C114" s="315" t="s">
        <v>571</v>
      </c>
      <c r="D114" s="45" t="s">
        <v>904</v>
      </c>
      <c r="E114" s="306">
        <f>$E$102/($E$102-1)*$E$109*$E$110*(E106+460)*($E$101^(($E$102-1)/$E$102)-1)*IF($E$100-3&lt;=0,0,1)</f>
        <v>0</v>
      </c>
      <c r="F114" s="47"/>
      <c r="G114" s="47"/>
      <c r="H114" s="317" t="s">
        <v>566</v>
      </c>
      <c r="I114" s="47"/>
      <c r="J114" s="359" t="s">
        <v>685</v>
      </c>
      <c r="K114" s="360"/>
      <c r="L114" s="360"/>
      <c r="M114" s="360"/>
      <c r="N114" s="360"/>
      <c r="O114" s="360"/>
      <c r="P114" s="361"/>
      <c r="Q114" s="2"/>
      <c r="R114" s="2"/>
      <c r="S114" s="2"/>
      <c r="T114" s="2"/>
      <c r="U114" s="2"/>
      <c r="V114" s="2"/>
      <c r="W114" s="2"/>
      <c r="X114" s="2"/>
      <c r="Y114" s="2"/>
    </row>
    <row r="115" spans="1:25" ht="39">
      <c r="A115" s="2"/>
      <c r="B115" s="18">
        <f t="shared" si="0"/>
        <v>8</v>
      </c>
      <c r="C115" s="315" t="s">
        <v>572</v>
      </c>
      <c r="D115" s="45" t="s">
        <v>905</v>
      </c>
      <c r="E115" s="306">
        <f>$E$102/($E$102-1)*$E$109*$E$110*(E107+460)*($E$101^(($E$102-1)/$E$102)-1)*IF($E$100-4&lt;=0,0,1)</f>
        <v>0</v>
      </c>
      <c r="F115" s="47"/>
      <c r="G115" s="47"/>
      <c r="H115" s="317" t="s">
        <v>566</v>
      </c>
      <c r="I115" s="47"/>
      <c r="J115" s="359" t="s">
        <v>686</v>
      </c>
      <c r="K115" s="360"/>
      <c r="L115" s="360"/>
      <c r="M115" s="360"/>
      <c r="N115" s="360"/>
      <c r="O115" s="360"/>
      <c r="P115" s="361"/>
      <c r="Q115" s="2"/>
      <c r="R115" s="2"/>
      <c r="S115" s="2"/>
      <c r="T115" s="2"/>
      <c r="U115" s="2"/>
      <c r="V115" s="2"/>
      <c r="W115" s="2"/>
      <c r="X115" s="2"/>
      <c r="Y115" s="2"/>
    </row>
    <row r="116" spans="1:25">
      <c r="A116" s="2"/>
      <c r="B116" s="18">
        <f t="shared" si="0"/>
        <v>7</v>
      </c>
      <c r="C116" s="315" t="s">
        <v>573</v>
      </c>
      <c r="D116" s="45" t="str">
        <f>C115&amp;"+"&amp;C114&amp;"+"&amp;C113&amp;"+"&amp;C112&amp;"+"&amp;C111</f>
        <v>stage5_W+stage4_W+stage3_W+stage2_W+stage1_W</v>
      </c>
      <c r="E116" s="306">
        <f>E115+E114+E113+E112+E111</f>
        <v>125.29242801631364</v>
      </c>
      <c r="F116" s="47"/>
      <c r="G116" s="47"/>
      <c r="H116" s="317" t="s">
        <v>566</v>
      </c>
      <c r="I116" s="47"/>
      <c r="J116" s="359" t="s">
        <v>687</v>
      </c>
      <c r="K116" s="360"/>
      <c r="L116" s="360"/>
      <c r="M116" s="360"/>
      <c r="N116" s="360"/>
      <c r="O116" s="360"/>
      <c r="P116" s="361"/>
      <c r="Q116" s="2"/>
      <c r="R116" s="2"/>
      <c r="S116" s="2"/>
      <c r="T116" s="2"/>
      <c r="U116" s="2"/>
      <c r="V116" s="2"/>
      <c r="W116" s="2"/>
      <c r="X116" s="2"/>
      <c r="Y116" s="2"/>
    </row>
    <row r="117" spans="1:25">
      <c r="A117" s="2"/>
      <c r="B117" s="18">
        <f t="shared" si="0"/>
        <v>8</v>
      </c>
      <c r="C117" s="307" t="s">
        <v>574</v>
      </c>
      <c r="D117" s="277" t="str">
        <f>C116&amp;"*("&amp;C39&amp;"/"&amp;C35&amp;"/10^6)/"&amp;C108</f>
        <v>Total_W*(inj_gas/Num_wells/10^6)/comp_eff</v>
      </c>
      <c r="E117" s="313">
        <f>E116*(E39/E35/10^6)/E108</f>
        <v>131.55704941712932</v>
      </c>
      <c r="F117" s="280"/>
      <c r="G117" s="280"/>
      <c r="H117" s="308" t="s">
        <v>567</v>
      </c>
      <c r="I117" s="280"/>
      <c r="J117" s="359" t="s">
        <v>688</v>
      </c>
      <c r="K117" s="360"/>
      <c r="L117" s="360"/>
      <c r="M117" s="360"/>
      <c r="N117" s="360"/>
      <c r="O117" s="360"/>
      <c r="P117" s="361"/>
      <c r="Q117" s="2"/>
      <c r="R117" s="2"/>
      <c r="S117" s="2"/>
      <c r="T117" s="2"/>
      <c r="U117" s="2"/>
      <c r="V117" s="2"/>
      <c r="W117" s="2"/>
      <c r="X117" s="2"/>
      <c r="Y117" s="2"/>
    </row>
    <row r="118" spans="1:25" ht="25.5" customHeight="1">
      <c r="A118" s="2"/>
      <c r="B118" s="18">
        <f t="shared" si="0"/>
        <v>9</v>
      </c>
      <c r="C118" s="315" t="s">
        <v>643</v>
      </c>
      <c r="D118" s="45"/>
      <c r="E118" s="46">
        <v>7074.5</v>
      </c>
      <c r="F118" s="319">
        <f>MIN(Drivers!$E$15,Drivers!$G$15,Drivers!$I$15,Drivers!$K$15,Drivers!$M$15,Drivers!$O$15,Drivers!$Q$15,Drivers!$S$15,Drivers!$U$15,Drivers!$W$15,Drivers!$Y$15,Drivers!$AA$15,Drivers!$AC$15)</f>
        <v>6050.7905399733982</v>
      </c>
      <c r="G118" s="319">
        <f>MAX(Drivers!$E$15,Drivers!$G$15,Drivers!$I$15,Drivers!$K$15,Drivers!$M$15,Drivers!$O$15,Drivers!$Q$15,Drivers!$S$15,Drivers!$U$15,Drivers!$W$15,Drivers!$Y$15,Drivers!$AA$15,Drivers!$AC$15)</f>
        <v>8046.5</v>
      </c>
      <c r="H118" s="317" t="s">
        <v>616</v>
      </c>
      <c r="I118" s="47"/>
      <c r="J118" s="368" t="s">
        <v>644</v>
      </c>
      <c r="K118" s="369"/>
      <c r="L118" s="369"/>
      <c r="M118" s="369"/>
      <c r="N118" s="369"/>
      <c r="O118" s="369"/>
      <c r="P118" s="370"/>
      <c r="Q118" s="2"/>
      <c r="R118" s="2"/>
      <c r="S118" s="2"/>
      <c r="T118" s="2"/>
      <c r="U118" s="2"/>
      <c r="V118" s="2"/>
      <c r="W118" s="2"/>
      <c r="X118" s="2"/>
      <c r="Y118" s="2"/>
    </row>
    <row r="119" spans="1:25" ht="25.5" customHeight="1">
      <c r="A119" s="2"/>
      <c r="B119" s="18">
        <f t="shared" si="0"/>
        <v>10</v>
      </c>
      <c r="C119" s="315" t="s">
        <v>645</v>
      </c>
      <c r="D119" s="45"/>
      <c r="E119" s="304">
        <v>0.78306874790997782</v>
      </c>
      <c r="F119" s="320">
        <f>MIN(Drivers!$E$54:$AC$54)</f>
        <v>0.77654996540916643</v>
      </c>
      <c r="G119" s="320">
        <f>MAX(Drivers!$E$54:$AC$54)</f>
        <v>0.89053044959213479</v>
      </c>
      <c r="H119" s="317" t="s">
        <v>646</v>
      </c>
      <c r="I119" s="47"/>
      <c r="J119" s="368" t="s">
        <v>647</v>
      </c>
      <c r="K119" s="369"/>
      <c r="L119" s="369"/>
      <c r="M119" s="369"/>
      <c r="N119" s="369"/>
      <c r="O119" s="369"/>
      <c r="P119" s="370"/>
      <c r="Q119" s="2"/>
      <c r="R119" s="2"/>
      <c r="S119" s="2"/>
      <c r="T119" s="2"/>
      <c r="U119" s="2"/>
      <c r="V119" s="2"/>
      <c r="W119" s="2"/>
      <c r="X119" s="2"/>
      <c r="Y119" s="2"/>
    </row>
    <row r="120" spans="1:25" ht="25.5" customHeight="1">
      <c r="A120" s="2"/>
      <c r="B120" s="18">
        <f t="shared" si="0"/>
        <v>13</v>
      </c>
      <c r="C120" s="315" t="s">
        <v>648</v>
      </c>
      <c r="D120" s="45"/>
      <c r="E120" s="305">
        <v>7272.6751696065112</v>
      </c>
      <c r="F120" s="319">
        <f>MIN(Drivers!$E$41,Drivers!$G$41,Drivers!$I$41,Drivers!$K$41,Drivers!$M$41,Drivers!$O$41,Drivers!$Q$41,Drivers!$S$41,Drivers!$U$41)</f>
        <v>6027.5641791044773</v>
      </c>
      <c r="G120" s="319">
        <f>MAX(Drivers!$E$41,Drivers!$G$41,Drivers!$I$41,Drivers!$K$41,Drivers!$M$41,Drivers!$O$41,Drivers!$Q$41,Drivers!$S$41,Drivers!$U$41)</f>
        <v>7339.3969601533618</v>
      </c>
      <c r="H120" s="317" t="s">
        <v>616</v>
      </c>
      <c r="I120" s="47"/>
      <c r="J120" s="368" t="s">
        <v>649</v>
      </c>
      <c r="K120" s="369"/>
      <c r="L120" s="369"/>
      <c r="M120" s="369"/>
      <c r="N120" s="369"/>
      <c r="O120" s="369"/>
      <c r="P120" s="370"/>
      <c r="Q120" s="2"/>
      <c r="R120" s="2"/>
      <c r="S120" s="2"/>
      <c r="T120" s="2"/>
      <c r="U120" s="2"/>
      <c r="V120" s="2"/>
      <c r="W120" s="2"/>
      <c r="X120" s="2"/>
      <c r="Y120" s="2"/>
    </row>
    <row r="121" spans="1:25" ht="26.25" customHeight="1">
      <c r="A121" s="2"/>
      <c r="B121" s="18">
        <f t="shared" si="0"/>
        <v>10</v>
      </c>
      <c r="C121" s="315" t="s">
        <v>650</v>
      </c>
      <c r="D121" s="45"/>
      <c r="E121" s="46">
        <v>10370</v>
      </c>
      <c r="F121" s="319">
        <f>MIN(Drivers!$E$29,Drivers!$G$29,Drivers!$I$29,Drivers!$K$29,Drivers!$M$29,Drivers!$O$29,Drivers!$Q$29,Drivers!$S$29,Drivers!$U$29)</f>
        <v>7025</v>
      </c>
      <c r="G121" s="319">
        <f>MAX(Drivers!$E$29,Drivers!$G$29,Drivers!$I$29,Drivers!$K$29,Drivers!$M$29,Drivers!$O$29,Drivers!$Q$29,Drivers!$S$29,Drivers!$U$29)</f>
        <v>10370</v>
      </c>
      <c r="H121" s="317" t="s">
        <v>616</v>
      </c>
      <c r="I121" s="47"/>
      <c r="J121" s="368" t="s">
        <v>651</v>
      </c>
      <c r="K121" s="369"/>
      <c r="L121" s="369"/>
      <c r="M121" s="369"/>
      <c r="N121" s="369"/>
      <c r="O121" s="369"/>
      <c r="P121" s="370"/>
      <c r="Q121" s="2"/>
      <c r="R121" s="2"/>
      <c r="S121" s="2"/>
      <c r="T121" s="2"/>
      <c r="U121" s="2"/>
      <c r="V121" s="2"/>
      <c r="W121" s="2"/>
      <c r="X121" s="2"/>
      <c r="Y121" s="2"/>
    </row>
    <row r="122" spans="1:25">
      <c r="A122" s="2"/>
      <c r="B122" s="18">
        <f t="shared" si="0"/>
        <v>9</v>
      </c>
      <c r="C122" s="315" t="s">
        <v>652</v>
      </c>
      <c r="D122" s="45"/>
      <c r="E122" s="305">
        <v>1</v>
      </c>
      <c r="F122" s="47"/>
      <c r="G122" s="47"/>
      <c r="H122" s="317"/>
      <c r="I122" s="47"/>
      <c r="J122" s="359" t="s">
        <v>653</v>
      </c>
      <c r="K122" s="360"/>
      <c r="L122" s="360"/>
      <c r="M122" s="360"/>
      <c r="N122" s="360"/>
      <c r="O122" s="360"/>
      <c r="P122" s="361"/>
      <c r="Q122" s="2"/>
      <c r="R122" s="2"/>
      <c r="S122" s="2"/>
      <c r="T122" s="2"/>
      <c r="U122" s="2"/>
      <c r="V122" s="2"/>
      <c r="W122" s="2"/>
      <c r="X122" s="2"/>
      <c r="Y122" s="2"/>
    </row>
    <row r="123" spans="1:25">
      <c r="A123" s="2"/>
      <c r="B123" s="18">
        <f t="shared" si="0"/>
        <v>10</v>
      </c>
      <c r="C123" s="315" t="s">
        <v>654</v>
      </c>
      <c r="D123" s="45"/>
      <c r="E123" s="305">
        <v>0</v>
      </c>
      <c r="F123" s="47"/>
      <c r="G123" s="47"/>
      <c r="H123" s="317"/>
      <c r="I123" s="47"/>
      <c r="J123" s="359" t="s">
        <v>655</v>
      </c>
      <c r="K123" s="360"/>
      <c r="L123" s="360"/>
      <c r="M123" s="360"/>
      <c r="N123" s="360"/>
      <c r="O123" s="360"/>
      <c r="P123" s="361"/>
      <c r="Q123" s="2"/>
      <c r="R123" s="2"/>
      <c r="S123" s="2"/>
      <c r="T123" s="2"/>
      <c r="U123" s="2"/>
      <c r="V123" s="2"/>
      <c r="W123" s="2"/>
      <c r="X123" s="2"/>
      <c r="Y123" s="2"/>
    </row>
    <row r="124" spans="1:25">
      <c r="A124" s="2"/>
      <c r="B124" s="18">
        <f t="shared" si="0"/>
        <v>12</v>
      </c>
      <c r="C124" s="315" t="s">
        <v>656</v>
      </c>
      <c r="D124" s="45"/>
      <c r="E124" s="305">
        <v>0</v>
      </c>
      <c r="F124" s="47"/>
      <c r="G124" s="47"/>
      <c r="H124" s="317"/>
      <c r="I124" s="47"/>
      <c r="J124" s="359" t="s">
        <v>657</v>
      </c>
      <c r="K124" s="360"/>
      <c r="L124" s="360"/>
      <c r="M124" s="360"/>
      <c r="N124" s="360"/>
      <c r="O124" s="360"/>
      <c r="P124" s="361"/>
      <c r="Q124" s="2"/>
      <c r="R124" s="2"/>
      <c r="S124" s="2"/>
      <c r="T124" s="2"/>
      <c r="U124" s="2"/>
      <c r="V124" s="2"/>
      <c r="W124" s="2"/>
      <c r="X124" s="2"/>
      <c r="Y124" s="2"/>
    </row>
    <row r="125" spans="1:25">
      <c r="A125" s="2"/>
      <c r="B125" s="18">
        <f t="shared" si="0"/>
        <v>9</v>
      </c>
      <c r="C125" s="315" t="s">
        <v>658</v>
      </c>
      <c r="D125" s="45"/>
      <c r="E125" s="305">
        <v>0</v>
      </c>
      <c r="F125" s="47"/>
      <c r="G125" s="47"/>
      <c r="H125" s="317"/>
      <c r="I125" s="47"/>
      <c r="J125" s="359" t="s">
        <v>659</v>
      </c>
      <c r="K125" s="360"/>
      <c r="L125" s="360"/>
      <c r="M125" s="360"/>
      <c r="N125" s="360"/>
      <c r="O125" s="360"/>
      <c r="P125" s="361"/>
      <c r="Q125" s="2"/>
      <c r="R125" s="2"/>
      <c r="S125" s="2"/>
      <c r="T125" s="2"/>
      <c r="U125" s="2"/>
      <c r="V125" s="2"/>
      <c r="W125" s="2"/>
      <c r="X125" s="2"/>
      <c r="Y125" s="2"/>
    </row>
    <row r="126" spans="1:25">
      <c r="A126" s="2"/>
      <c r="B126" s="18">
        <f t="shared" si="0"/>
        <v>7</v>
      </c>
      <c r="C126" s="315" t="s">
        <v>660</v>
      </c>
      <c r="D126" s="45"/>
      <c r="E126" s="305">
        <v>1</v>
      </c>
      <c r="F126" s="47"/>
      <c r="G126" s="47"/>
      <c r="H126" s="317"/>
      <c r="I126" s="47"/>
      <c r="J126" s="359" t="s">
        <v>661</v>
      </c>
      <c r="K126" s="360"/>
      <c r="L126" s="360"/>
      <c r="M126" s="360"/>
      <c r="N126" s="360"/>
      <c r="O126" s="360"/>
      <c r="P126" s="361"/>
      <c r="Q126" s="2"/>
      <c r="R126" s="2"/>
      <c r="S126" s="2"/>
      <c r="T126" s="2"/>
      <c r="U126" s="2"/>
      <c r="V126" s="2"/>
      <c r="W126" s="2"/>
      <c r="X126" s="2"/>
      <c r="Y126" s="2"/>
    </row>
    <row r="127" spans="1:25">
      <c r="A127" s="2"/>
      <c r="B127" s="18">
        <f t="shared" si="0"/>
        <v>8</v>
      </c>
      <c r="C127" s="315" t="s">
        <v>662</v>
      </c>
      <c r="D127" s="45"/>
      <c r="E127" s="305">
        <v>0</v>
      </c>
      <c r="F127" s="47"/>
      <c r="G127" s="47"/>
      <c r="H127" s="317"/>
      <c r="I127" s="47"/>
      <c r="J127" s="359" t="s">
        <v>663</v>
      </c>
      <c r="K127" s="360"/>
      <c r="L127" s="360"/>
      <c r="M127" s="360"/>
      <c r="N127" s="360"/>
      <c r="O127" s="360"/>
      <c r="P127" s="361"/>
      <c r="Q127" s="2"/>
      <c r="R127" s="2"/>
      <c r="S127" s="2"/>
      <c r="T127" s="2"/>
      <c r="U127" s="2"/>
      <c r="V127" s="2"/>
      <c r="W127" s="2"/>
      <c r="X127" s="2"/>
      <c r="Y127" s="2"/>
    </row>
    <row r="128" spans="1:25">
      <c r="A128" s="2"/>
      <c r="B128" s="18">
        <f t="shared" si="0"/>
        <v>11</v>
      </c>
      <c r="C128" s="315" t="s">
        <v>664</v>
      </c>
      <c r="D128" s="45"/>
      <c r="E128" s="46">
        <f>CONVERT(1000000,"btu","MJ")</f>
        <v>1055.05585262</v>
      </c>
      <c r="F128" s="47"/>
      <c r="G128" s="47"/>
      <c r="H128" s="317" t="s">
        <v>665</v>
      </c>
      <c r="I128" s="47"/>
      <c r="J128" s="359" t="s">
        <v>666</v>
      </c>
      <c r="K128" s="360"/>
      <c r="L128" s="360"/>
      <c r="M128" s="360"/>
      <c r="N128" s="360"/>
      <c r="O128" s="360"/>
      <c r="P128" s="361"/>
      <c r="Q128" s="2"/>
      <c r="R128" s="2"/>
      <c r="S128" s="2"/>
      <c r="T128" s="2"/>
      <c r="U128" s="2"/>
      <c r="V128" s="2"/>
      <c r="W128" s="2"/>
      <c r="X128" s="2"/>
      <c r="Y128" s="2"/>
    </row>
    <row r="129" spans="1:25" ht="26.25">
      <c r="A129" s="2"/>
      <c r="B129" s="18">
        <f t="shared" si="0"/>
        <v>11</v>
      </c>
      <c r="C129" s="315" t="s">
        <v>667</v>
      </c>
      <c r="D129" s="45" t="str">
        <f>$C122&amp;"*"&amp;$C126&amp;"*"&amp;C118&amp;"*"&amp;$C$117&amp;"/1000000*24*"&amp;$C$35&amp;"/"&amp;$C$95&amp;"*"&amp;$C$128</f>
        <v>Prime_nge*NG_fuel*NG_engine*brake_hp/1000000*24*Num_wells/mix_flow*MMbtu_to_MJ</v>
      </c>
      <c r="E129" s="105">
        <f>$E122*$E126*E118*$E$117/1000000*24*$E$35/$E$95*$E$128</f>
        <v>0.23810165152157195</v>
      </c>
      <c r="F129" s="105"/>
      <c r="G129" s="105"/>
      <c r="H129" s="317" t="s">
        <v>668</v>
      </c>
      <c r="I129" s="47"/>
      <c r="J129" s="359" t="s">
        <v>906</v>
      </c>
      <c r="K129" s="360"/>
      <c r="L129" s="360"/>
      <c r="M129" s="360"/>
      <c r="N129" s="360"/>
      <c r="O129" s="360"/>
      <c r="P129" s="361"/>
      <c r="Q129" s="2"/>
      <c r="R129" s="2"/>
      <c r="S129" s="2"/>
      <c r="T129" s="2"/>
      <c r="U129" s="2"/>
      <c r="V129" s="2"/>
      <c r="W129" s="2"/>
      <c r="X129" s="2"/>
      <c r="Y129" s="2"/>
    </row>
    <row r="130" spans="1:25" ht="26.25">
      <c r="A130" s="2"/>
      <c r="B130" s="18">
        <f t="shared" si="0"/>
        <v>12</v>
      </c>
      <c r="C130" s="315" t="s">
        <v>669</v>
      </c>
      <c r="D130" s="45" t="str">
        <f>$C122&amp;"*"&amp;$C127&amp;"*"&amp;C118&amp;"*"&amp;$C$117&amp;"/1000000*24*"&amp;$C$35&amp;"/"&amp;$C$95&amp;"*"&amp;$C$128</f>
        <v>Prime_nge*NGL_fuel*NG_engine*brake_hp/1000000*24*Num_wells/mix_flow*MMbtu_to_MJ</v>
      </c>
      <c r="E130" s="105">
        <f>$E122*$E127*E118*$E$117/1000000*24*$E$35/$E$95*$E$128</f>
        <v>0</v>
      </c>
      <c r="F130" s="105"/>
      <c r="G130" s="105"/>
      <c r="H130" s="317" t="s">
        <v>668</v>
      </c>
      <c r="I130" s="47"/>
      <c r="J130" s="359" t="s">
        <v>907</v>
      </c>
      <c r="K130" s="360"/>
      <c r="L130" s="360"/>
      <c r="M130" s="360"/>
      <c r="N130" s="360"/>
      <c r="O130" s="360"/>
      <c r="P130" s="361"/>
      <c r="Q130" s="2"/>
      <c r="R130" s="2"/>
      <c r="S130" s="2"/>
      <c r="T130" s="2"/>
      <c r="U130" s="2"/>
      <c r="V130" s="2"/>
      <c r="W130" s="2"/>
      <c r="X130" s="2"/>
      <c r="Y130" s="2"/>
    </row>
    <row r="131" spans="1:25">
      <c r="A131" s="2"/>
      <c r="B131" s="18">
        <f t="shared" si="0"/>
        <v>9</v>
      </c>
      <c r="C131" s="315" t="s">
        <v>670</v>
      </c>
      <c r="D131" s="45" t="str">
        <f>$C123&amp;"*"&amp;C119&amp;"*"&amp;$C$117&amp;"*24*"&amp;$C$35&amp;"/"&amp;C95</f>
        <v>Prime_elec*Elec_motor*brake_hp*24*Num_wells/mix_flow</v>
      </c>
      <c r="E131" s="105">
        <f>$E123*E119*$E$117*24*$E$35/E95</f>
        <v>0</v>
      </c>
      <c r="F131" s="105"/>
      <c r="G131" s="105"/>
      <c r="H131" s="317" t="s">
        <v>671</v>
      </c>
      <c r="I131" s="47"/>
      <c r="J131" s="359" t="s">
        <v>689</v>
      </c>
      <c r="K131" s="360"/>
      <c r="L131" s="360"/>
      <c r="M131" s="360"/>
      <c r="N131" s="360"/>
      <c r="O131" s="360"/>
      <c r="P131" s="361"/>
      <c r="Q131" s="2"/>
      <c r="R131" s="2"/>
      <c r="S131" s="2"/>
      <c r="T131" s="2"/>
      <c r="U131" s="2"/>
      <c r="V131" s="2"/>
      <c r="W131" s="2"/>
      <c r="X131" s="2"/>
      <c r="Y131" s="2"/>
    </row>
    <row r="132" spans="1:25" ht="26.25">
      <c r="A132" s="2"/>
      <c r="B132" s="18">
        <f t="shared" si="0"/>
        <v>11</v>
      </c>
      <c r="C132" s="315" t="s">
        <v>672</v>
      </c>
      <c r="D132" s="45" t="str">
        <f>$C124&amp;"*"&amp;C120&amp;"*"&amp;$C$117&amp;"/1000000*24*"&amp;$C$35&amp;"/"&amp;$C$95&amp;"*"&amp;$C$128</f>
        <v>Prime_diesel*Diesel_engine*brake_hp/1000000*24*Num_wells/mix_flow*MMbtu_to_MJ</v>
      </c>
      <c r="E132" s="105">
        <f>$E124*E120*$E$117/1000000*24*$E$35/$E$95*$E$128</f>
        <v>0</v>
      </c>
      <c r="F132" s="105"/>
      <c r="G132" s="105"/>
      <c r="H132" s="317" t="s">
        <v>668</v>
      </c>
      <c r="I132" s="47"/>
      <c r="J132" s="359" t="s">
        <v>908</v>
      </c>
      <c r="K132" s="360"/>
      <c r="L132" s="360"/>
      <c r="M132" s="360"/>
      <c r="N132" s="360"/>
      <c r="O132" s="360"/>
      <c r="P132" s="361"/>
      <c r="Q132" s="2"/>
      <c r="R132" s="2"/>
      <c r="S132" s="2"/>
      <c r="T132" s="2"/>
      <c r="U132" s="2"/>
      <c r="V132" s="2"/>
      <c r="W132" s="2"/>
      <c r="X132" s="2"/>
      <c r="Y132" s="2"/>
    </row>
    <row r="133" spans="1:25" ht="26.25">
      <c r="A133" s="2"/>
      <c r="B133" s="18">
        <f t="shared" si="0"/>
        <v>11</v>
      </c>
      <c r="C133" s="315" t="s">
        <v>673</v>
      </c>
      <c r="D133" s="45" t="str">
        <f>$C125&amp;"*"&amp;$C126&amp;"*"&amp;C121&amp;"*"&amp;$C$117&amp;"/1000000*24*"&amp;$C$35&amp;"/"&amp;$C$95&amp;"*"&amp;$C$128</f>
        <v>Prime_ngt*NG_fuel*NG_turbine*brake_hp/1000000*24*Num_wells/mix_flow*MMbtu_to_MJ</v>
      </c>
      <c r="E133" s="105">
        <f>$E125*$E126*E121*$E$117/1000000*24*$E$35/$E$95*$E$128</f>
        <v>0</v>
      </c>
      <c r="F133" s="105"/>
      <c r="G133" s="105"/>
      <c r="H133" s="317" t="s">
        <v>668</v>
      </c>
      <c r="I133" s="47"/>
      <c r="J133" s="359" t="s">
        <v>909</v>
      </c>
      <c r="K133" s="360"/>
      <c r="L133" s="360"/>
      <c r="M133" s="360"/>
      <c r="N133" s="360"/>
      <c r="O133" s="360"/>
      <c r="P133" s="361"/>
      <c r="Q133" s="2"/>
      <c r="R133" s="2"/>
      <c r="S133" s="2"/>
      <c r="T133" s="2"/>
      <c r="U133" s="2"/>
      <c r="V133" s="2"/>
      <c r="W133" s="2"/>
      <c r="X133" s="2"/>
      <c r="Y133" s="2"/>
    </row>
    <row r="134" spans="1:25" ht="26.25">
      <c r="A134" s="2"/>
      <c r="B134" s="18">
        <f t="shared" si="0"/>
        <v>12</v>
      </c>
      <c r="C134" s="315" t="s">
        <v>674</v>
      </c>
      <c r="D134" s="45" t="str">
        <f>$C125&amp;"*"&amp;$C127&amp;"*"&amp;C121&amp;"*"&amp;$C$117&amp;"/1000000*24*"&amp;$C$35&amp;"/"&amp;$C$95&amp;"*"&amp;$C$128</f>
        <v>Prime_ngt*NGL_fuel*NG_turbine*brake_hp/1000000*24*Num_wells/mix_flow*MMbtu_to_MJ</v>
      </c>
      <c r="E134" s="105">
        <f>$E125*$E127*E121*$E$117/1000000*24*$E$35/$E$95*$E$128</f>
        <v>0</v>
      </c>
      <c r="F134" s="105"/>
      <c r="G134" s="105"/>
      <c r="H134" s="317" t="s">
        <v>668</v>
      </c>
      <c r="I134" s="47"/>
      <c r="J134" s="359" t="s">
        <v>910</v>
      </c>
      <c r="K134" s="360"/>
      <c r="L134" s="360"/>
      <c r="M134" s="360"/>
      <c r="N134" s="360"/>
      <c r="O134" s="360"/>
      <c r="P134" s="361"/>
      <c r="Q134" s="2"/>
      <c r="R134" s="2"/>
      <c r="S134" s="2"/>
      <c r="T134" s="2"/>
      <c r="U134" s="2"/>
      <c r="V134" s="2"/>
      <c r="W134" s="2"/>
      <c r="X134" s="2"/>
      <c r="Y134" s="2"/>
    </row>
    <row r="135" spans="1:25">
      <c r="A135" s="2"/>
      <c r="B135" s="9"/>
      <c r="C135" s="49" t="s">
        <v>66</v>
      </c>
      <c r="D135" s="50" t="s">
        <v>67</v>
      </c>
      <c r="E135" s="51"/>
      <c r="F135" s="51"/>
      <c r="G135" s="51"/>
      <c r="H135" s="52"/>
      <c r="I135" s="53"/>
      <c r="J135" s="54"/>
      <c r="K135" s="54"/>
      <c r="L135" s="54"/>
      <c r="M135" s="54"/>
      <c r="N135" s="54"/>
      <c r="O135" s="54"/>
      <c r="P135" s="55"/>
      <c r="Q135" s="2"/>
      <c r="R135" s="2"/>
      <c r="S135" s="2"/>
      <c r="T135" s="2"/>
      <c r="U135" s="2"/>
      <c r="V135" s="2"/>
      <c r="W135" s="2"/>
      <c r="X135" s="2"/>
      <c r="Y135" s="2"/>
    </row>
    <row r="136" spans="1:25" ht="15.75" thickBot="1">
      <c r="A136" s="2"/>
      <c r="B136" s="9"/>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thickBot="1">
      <c r="A137" s="32"/>
      <c r="B137" s="373" t="s">
        <v>68</v>
      </c>
      <c r="C137" s="374"/>
      <c r="D137" s="374"/>
      <c r="E137" s="374"/>
      <c r="F137" s="374"/>
      <c r="G137" s="374"/>
      <c r="H137" s="374"/>
      <c r="I137" s="374"/>
      <c r="J137" s="374"/>
      <c r="K137" s="374"/>
      <c r="L137" s="374"/>
      <c r="M137" s="374"/>
      <c r="N137" s="374"/>
      <c r="O137" s="374"/>
      <c r="P137" s="375"/>
      <c r="Q137" s="32"/>
      <c r="R137" s="32"/>
      <c r="S137" s="32"/>
      <c r="T137" s="32"/>
      <c r="U137" s="32"/>
      <c r="V137" s="32"/>
      <c r="W137" s="32"/>
      <c r="X137" s="32"/>
      <c r="Y137" s="32"/>
    </row>
    <row r="138" spans="1:25">
      <c r="A138" s="2"/>
      <c r="B138" s="9"/>
      <c r="C138" s="2"/>
      <c r="D138" s="2"/>
      <c r="E138" s="2"/>
      <c r="F138" s="2"/>
      <c r="G138" s="2"/>
      <c r="H138" s="42" t="s">
        <v>69</v>
      </c>
      <c r="I138" s="2"/>
      <c r="J138" s="2"/>
      <c r="K138" s="2"/>
      <c r="L138" s="2"/>
      <c r="M138" s="2"/>
      <c r="N138" s="2"/>
      <c r="O138" s="2"/>
      <c r="P138" s="2"/>
      <c r="Q138" s="2"/>
      <c r="R138" s="2"/>
      <c r="S138" s="2"/>
      <c r="T138" s="2"/>
      <c r="U138" s="2"/>
      <c r="V138" s="2"/>
      <c r="W138" s="2"/>
      <c r="X138" s="2"/>
      <c r="Y138" s="2"/>
    </row>
    <row r="139" spans="1:25">
      <c r="A139" s="2"/>
      <c r="B139" s="9"/>
      <c r="C139" s="43" t="s">
        <v>70</v>
      </c>
      <c r="D139" s="43" t="s">
        <v>71</v>
      </c>
      <c r="E139" s="43" t="s">
        <v>60</v>
      </c>
      <c r="F139" s="43" t="s">
        <v>72</v>
      </c>
      <c r="G139" s="43" t="s">
        <v>70</v>
      </c>
      <c r="H139" s="43" t="s">
        <v>63</v>
      </c>
      <c r="I139" s="43" t="s">
        <v>73</v>
      </c>
      <c r="J139" s="43" t="s">
        <v>74</v>
      </c>
      <c r="K139" s="43" t="s">
        <v>75</v>
      </c>
      <c r="L139" s="43" t="s">
        <v>76</v>
      </c>
      <c r="M139" s="43" t="s">
        <v>64</v>
      </c>
      <c r="N139" s="376" t="s">
        <v>65</v>
      </c>
      <c r="O139" s="376"/>
      <c r="P139" s="376"/>
      <c r="Q139" s="2"/>
      <c r="R139" s="2"/>
      <c r="S139" s="2"/>
      <c r="T139" s="2"/>
      <c r="U139" s="2"/>
      <c r="V139" s="2"/>
      <c r="W139" s="2"/>
      <c r="X139" s="32"/>
      <c r="Y139" s="32"/>
    </row>
    <row r="140" spans="1:25" ht="14.25" customHeight="1">
      <c r="A140" s="2"/>
      <c r="B140" s="9"/>
      <c r="C140" s="44" t="s">
        <v>667</v>
      </c>
      <c r="D140" s="56" t="s">
        <v>728</v>
      </c>
      <c r="E140" s="57">
        <v>1</v>
      </c>
      <c r="F140" s="57"/>
      <c r="G140" s="58">
        <f t="shared" ref="G140:G145" si="3">IF($C140="",1,VLOOKUP($C140,$C$22:$H$135,3,FALSE))</f>
        <v>0.23810165152157195</v>
      </c>
      <c r="H140" s="59" t="str">
        <f t="shared" ref="H140:H145" si="4">IF($C140="","",VLOOKUP($C140,$C$22:$H$135,6,FALSE))</f>
        <v>MJ/kg</v>
      </c>
      <c r="I140" s="60">
        <f>IF(D140="","",E140*G140*$D$5)</f>
        <v>0.23810165152157195</v>
      </c>
      <c r="J140" s="57" t="s">
        <v>691</v>
      </c>
      <c r="K140" s="61" t="s">
        <v>91</v>
      </c>
      <c r="L140" s="57"/>
      <c r="M140" s="62"/>
      <c r="N140" s="371" t="s">
        <v>692</v>
      </c>
      <c r="O140" s="372"/>
      <c r="P140" s="372"/>
      <c r="Q140" s="2"/>
      <c r="R140" s="2"/>
      <c r="S140" s="2"/>
      <c r="T140" s="2"/>
      <c r="U140" s="2"/>
      <c r="V140" s="2"/>
      <c r="W140" s="2"/>
      <c r="X140" s="32"/>
      <c r="Y140" s="32"/>
    </row>
    <row r="141" spans="1:25" ht="14.25" customHeight="1">
      <c r="A141" s="2"/>
      <c r="B141" s="9"/>
      <c r="C141" s="44" t="s">
        <v>669</v>
      </c>
      <c r="D141" s="63" t="s">
        <v>726</v>
      </c>
      <c r="E141" s="57">
        <v>1</v>
      </c>
      <c r="F141" s="57"/>
      <c r="G141" s="58">
        <f t="shared" si="3"/>
        <v>0</v>
      </c>
      <c r="H141" s="59" t="str">
        <f t="shared" si="4"/>
        <v>MJ/kg</v>
      </c>
      <c r="I141" s="60">
        <f t="shared" ref="I141:I145" si="5">IF(D141="","",E141*G141*$D$5)</f>
        <v>0</v>
      </c>
      <c r="J141" s="57" t="s">
        <v>691</v>
      </c>
      <c r="K141" s="61" t="s">
        <v>91</v>
      </c>
      <c r="L141" s="57"/>
      <c r="M141" s="62"/>
      <c r="N141" s="371" t="s">
        <v>693</v>
      </c>
      <c r="O141" s="372"/>
      <c r="P141" s="372"/>
      <c r="Q141" s="2"/>
      <c r="R141" s="2"/>
      <c r="S141" s="2"/>
      <c r="T141" s="2"/>
      <c r="U141" s="2"/>
      <c r="V141" s="2"/>
      <c r="W141" s="2"/>
      <c r="X141" s="32"/>
      <c r="Y141" s="32"/>
    </row>
    <row r="142" spans="1:25" ht="14.25" customHeight="1">
      <c r="A142" s="2"/>
      <c r="B142" s="9"/>
      <c r="C142" s="44" t="s">
        <v>670</v>
      </c>
      <c r="D142" s="63" t="s">
        <v>690</v>
      </c>
      <c r="E142" s="57">
        <v>1</v>
      </c>
      <c r="F142" s="57"/>
      <c r="G142" s="58">
        <f t="shared" si="3"/>
        <v>0</v>
      </c>
      <c r="H142" s="59" t="str">
        <f t="shared" si="4"/>
        <v>kWh/kg</v>
      </c>
      <c r="I142" s="60">
        <f t="shared" si="5"/>
        <v>0</v>
      </c>
      <c r="J142" s="57" t="s">
        <v>691</v>
      </c>
      <c r="K142" s="61" t="s">
        <v>91</v>
      </c>
      <c r="L142" s="57"/>
      <c r="M142" s="62"/>
      <c r="N142" s="371" t="s">
        <v>694</v>
      </c>
      <c r="O142" s="372"/>
      <c r="P142" s="372"/>
      <c r="Q142" s="2"/>
      <c r="R142" s="2"/>
      <c r="S142" s="2"/>
      <c r="T142" s="2"/>
      <c r="U142" s="2"/>
      <c r="V142" s="2"/>
      <c r="W142" s="2"/>
      <c r="X142" s="32"/>
      <c r="Y142" s="32"/>
    </row>
    <row r="143" spans="1:25">
      <c r="A143" s="2"/>
      <c r="B143" s="9"/>
      <c r="C143" s="44" t="s">
        <v>672</v>
      </c>
      <c r="D143" s="63" t="s">
        <v>730</v>
      </c>
      <c r="E143" s="57">
        <v>1</v>
      </c>
      <c r="F143" s="57"/>
      <c r="G143" s="58">
        <f t="shared" si="3"/>
        <v>0</v>
      </c>
      <c r="H143" s="59" t="str">
        <f t="shared" si="4"/>
        <v>MJ/kg</v>
      </c>
      <c r="I143" s="60">
        <f t="shared" si="5"/>
        <v>0</v>
      </c>
      <c r="J143" s="57" t="s">
        <v>691</v>
      </c>
      <c r="K143" s="61" t="s">
        <v>91</v>
      </c>
      <c r="L143" s="57"/>
      <c r="M143" s="62"/>
      <c r="N143" s="371" t="s">
        <v>692</v>
      </c>
      <c r="O143" s="372"/>
      <c r="P143" s="372"/>
      <c r="Q143" s="2"/>
      <c r="R143" s="2"/>
      <c r="S143" s="2"/>
      <c r="T143" s="2"/>
      <c r="U143" s="2"/>
      <c r="V143" s="2"/>
      <c r="W143" s="2"/>
      <c r="X143" s="32"/>
      <c r="Y143" s="32"/>
    </row>
    <row r="144" spans="1:25">
      <c r="A144" s="2"/>
      <c r="B144" s="9"/>
      <c r="C144" s="44" t="s">
        <v>673</v>
      </c>
      <c r="D144" s="63" t="s">
        <v>729</v>
      </c>
      <c r="E144" s="57">
        <v>1</v>
      </c>
      <c r="F144" s="57"/>
      <c r="G144" s="58">
        <f t="shared" si="3"/>
        <v>0</v>
      </c>
      <c r="H144" s="59" t="str">
        <f t="shared" si="4"/>
        <v>MJ/kg</v>
      </c>
      <c r="I144" s="60">
        <f t="shared" si="5"/>
        <v>0</v>
      </c>
      <c r="J144" s="57" t="s">
        <v>691</v>
      </c>
      <c r="K144" s="61" t="s">
        <v>91</v>
      </c>
      <c r="L144" s="57"/>
      <c r="M144" s="62"/>
      <c r="N144" s="371" t="s">
        <v>692</v>
      </c>
      <c r="O144" s="372"/>
      <c r="P144" s="372"/>
      <c r="Q144" s="2"/>
      <c r="R144" s="2"/>
      <c r="S144" s="2"/>
      <c r="T144" s="2"/>
      <c r="U144" s="2"/>
      <c r="V144" s="2"/>
      <c r="W144" s="2"/>
      <c r="X144" s="32"/>
      <c r="Y144" s="32"/>
    </row>
    <row r="145" spans="1:25">
      <c r="A145" s="2"/>
      <c r="B145" s="9"/>
      <c r="C145" s="44" t="s">
        <v>674</v>
      </c>
      <c r="D145" s="63" t="s">
        <v>727</v>
      </c>
      <c r="E145" s="57">
        <v>1</v>
      </c>
      <c r="F145" s="57"/>
      <c r="G145" s="58">
        <f t="shared" si="3"/>
        <v>0</v>
      </c>
      <c r="H145" s="59" t="str">
        <f t="shared" si="4"/>
        <v>MJ/kg</v>
      </c>
      <c r="I145" s="60">
        <f t="shared" si="5"/>
        <v>0</v>
      </c>
      <c r="J145" s="57" t="s">
        <v>691</v>
      </c>
      <c r="K145" s="61" t="s">
        <v>91</v>
      </c>
      <c r="L145" s="57"/>
      <c r="M145" s="62"/>
      <c r="N145" s="371" t="s">
        <v>692</v>
      </c>
      <c r="O145" s="372"/>
      <c r="P145" s="372"/>
      <c r="Q145" s="2"/>
      <c r="R145" s="2"/>
      <c r="S145" s="2"/>
      <c r="T145" s="2"/>
      <c r="U145" s="2"/>
      <c r="V145" s="2"/>
      <c r="W145" s="2"/>
      <c r="X145" s="32"/>
      <c r="Y145" s="32"/>
    </row>
    <row r="146" spans="1:25">
      <c r="A146" s="2"/>
      <c r="B146" s="9"/>
      <c r="C146" s="66" t="s">
        <v>66</v>
      </c>
      <c r="D146" s="50" t="s">
        <v>67</v>
      </c>
      <c r="E146" s="67" t="s">
        <v>77</v>
      </c>
      <c r="F146" s="50"/>
      <c r="G146" s="50"/>
      <c r="H146" s="50"/>
      <c r="I146" s="67" t="s">
        <v>78</v>
      </c>
      <c r="J146" s="50"/>
      <c r="K146" s="67"/>
      <c r="L146" s="50" t="s">
        <v>79</v>
      </c>
      <c r="M146" s="68"/>
      <c r="N146" s="364"/>
      <c r="O146" s="364"/>
      <c r="P146" s="364"/>
      <c r="Q146" s="2"/>
      <c r="R146" s="2"/>
      <c r="S146" s="2"/>
      <c r="T146" s="2"/>
      <c r="U146" s="2"/>
      <c r="V146" s="2"/>
      <c r="W146" s="2"/>
      <c r="X146" s="32"/>
      <c r="Y146" s="32"/>
    </row>
    <row r="147" spans="1:25" ht="15.75" thickBot="1">
      <c r="A147" s="2"/>
      <c r="B147" s="9"/>
      <c r="C147" s="2"/>
      <c r="D147" s="2"/>
      <c r="E147" s="2"/>
      <c r="F147" s="2"/>
      <c r="G147" s="2"/>
      <c r="H147" s="2"/>
      <c r="I147" s="2"/>
      <c r="J147" s="2"/>
      <c r="K147" s="2"/>
      <c r="L147" s="2"/>
      <c r="M147" s="2"/>
      <c r="N147" s="2"/>
      <c r="O147" s="2"/>
      <c r="P147" s="2"/>
      <c r="Q147" s="2"/>
      <c r="R147" s="2"/>
      <c r="S147" s="2"/>
      <c r="T147" s="2"/>
      <c r="U147" s="2"/>
      <c r="V147" s="2"/>
      <c r="W147" s="2"/>
      <c r="X147" s="32"/>
      <c r="Y147" s="32"/>
    </row>
    <row r="148" spans="1:25" ht="15.75" thickBot="1">
      <c r="A148" s="32"/>
      <c r="B148" s="373" t="s">
        <v>80</v>
      </c>
      <c r="C148" s="374"/>
      <c r="D148" s="374"/>
      <c r="E148" s="374"/>
      <c r="F148" s="374"/>
      <c r="G148" s="374"/>
      <c r="H148" s="374"/>
      <c r="I148" s="374"/>
      <c r="J148" s="374"/>
      <c r="K148" s="374"/>
      <c r="L148" s="374"/>
      <c r="M148" s="374"/>
      <c r="N148" s="374"/>
      <c r="O148" s="374"/>
      <c r="P148" s="375"/>
      <c r="Q148" s="32"/>
      <c r="R148" s="32"/>
      <c r="S148" s="32"/>
      <c r="T148" s="32"/>
      <c r="U148" s="32"/>
      <c r="V148" s="32"/>
      <c r="W148" s="32"/>
      <c r="X148" s="32"/>
      <c r="Y148" s="32"/>
    </row>
    <row r="149" spans="1:25">
      <c r="A149" s="2"/>
      <c r="B149" s="9"/>
      <c r="C149" s="2"/>
      <c r="D149" s="2"/>
      <c r="E149" s="2"/>
      <c r="F149" s="2"/>
      <c r="G149" s="2"/>
      <c r="H149" s="42" t="s">
        <v>81</v>
      </c>
      <c r="I149" s="2"/>
      <c r="J149" s="2"/>
      <c r="K149" s="2"/>
      <c r="L149" s="2"/>
      <c r="M149" s="2"/>
      <c r="N149" s="2"/>
      <c r="O149" s="2"/>
      <c r="P149" s="2"/>
      <c r="Q149" s="2"/>
      <c r="R149" s="2"/>
      <c r="S149" s="2"/>
      <c r="T149" s="2"/>
      <c r="U149" s="2"/>
      <c r="V149" s="2"/>
      <c r="W149" s="2"/>
      <c r="X149" s="32"/>
      <c r="Y149" s="32"/>
    </row>
    <row r="150" spans="1:25">
      <c r="A150" s="2"/>
      <c r="B150" s="9"/>
      <c r="C150" s="43" t="s">
        <v>70</v>
      </c>
      <c r="D150" s="43" t="s">
        <v>71</v>
      </c>
      <c r="E150" s="43" t="s">
        <v>60</v>
      </c>
      <c r="F150" s="43" t="s">
        <v>72</v>
      </c>
      <c r="G150" s="43" t="s">
        <v>70</v>
      </c>
      <c r="H150" s="43" t="s">
        <v>63</v>
      </c>
      <c r="I150" s="43" t="s">
        <v>73</v>
      </c>
      <c r="J150" s="43" t="s">
        <v>74</v>
      </c>
      <c r="K150" s="43" t="s">
        <v>75</v>
      </c>
      <c r="L150" s="43" t="s">
        <v>76</v>
      </c>
      <c r="M150" s="43" t="s">
        <v>64</v>
      </c>
      <c r="N150" s="376" t="s">
        <v>65</v>
      </c>
      <c r="O150" s="376"/>
      <c r="P150" s="376"/>
      <c r="Q150" s="2"/>
      <c r="R150" s="2"/>
      <c r="S150" s="2"/>
      <c r="T150" s="2"/>
      <c r="U150" s="2"/>
      <c r="V150" s="2"/>
      <c r="W150" s="2"/>
      <c r="X150" s="32"/>
      <c r="Y150" s="32"/>
    </row>
    <row r="151" spans="1:25">
      <c r="A151" s="2"/>
      <c r="B151" s="9"/>
      <c r="C151" s="69"/>
      <c r="D151" s="70" t="str">
        <f>CONCATENATE(G5)</f>
        <v>Raw Petroleum Mixture</v>
      </c>
      <c r="E151" s="71">
        <v>1</v>
      </c>
      <c r="F151" s="71"/>
      <c r="G151" s="58">
        <f>IF($C151="",1,VLOOKUP($C151,$C$22:$H$135,3,FALSE))</f>
        <v>1</v>
      </c>
      <c r="H151" s="59" t="str">
        <f>IF($C151="","",VLOOKUP($C151,$C$22:$H$135,6,FALSE))</f>
        <v/>
      </c>
      <c r="I151" s="60">
        <f>IF(D151="","",E151*G151*$D$5)</f>
        <v>1</v>
      </c>
      <c r="J151" s="71" t="s">
        <v>42</v>
      </c>
      <c r="K151" s="61" t="s">
        <v>91</v>
      </c>
      <c r="L151" s="57"/>
      <c r="M151" s="72"/>
      <c r="N151" s="363" t="s">
        <v>82</v>
      </c>
      <c r="O151" s="363"/>
      <c r="P151" s="363"/>
      <c r="Q151" s="2"/>
      <c r="R151" s="2"/>
      <c r="S151" s="2"/>
      <c r="T151" s="2"/>
      <c r="U151" s="2"/>
      <c r="V151" s="2"/>
      <c r="W151" s="2"/>
      <c r="X151" s="32"/>
      <c r="Y151" s="32"/>
    </row>
    <row r="152" spans="1:25">
      <c r="A152" s="2"/>
      <c r="B152" s="9"/>
      <c r="C152" s="64"/>
      <c r="D152" s="73"/>
      <c r="E152" s="71"/>
      <c r="F152" s="71"/>
      <c r="G152" s="58">
        <f>IF($C152="",1,VLOOKUP($C152,$C$22:$H$135,3,FALSE))</f>
        <v>1</v>
      </c>
      <c r="H152" s="59" t="str">
        <f>IF($C152="","",VLOOKUP($C152,$C$22:$H$135,6,FALSE))</f>
        <v/>
      </c>
      <c r="I152" s="60" t="str">
        <f>IF(D152="","",E152*G152*$D$5)</f>
        <v/>
      </c>
      <c r="J152" s="71"/>
      <c r="K152" s="61"/>
      <c r="L152" s="57"/>
      <c r="M152" s="62"/>
      <c r="N152" s="363"/>
      <c r="O152" s="363"/>
      <c r="P152" s="363"/>
      <c r="Q152" s="2"/>
      <c r="R152" s="2"/>
      <c r="S152" s="2"/>
      <c r="T152" s="2"/>
      <c r="U152" s="2"/>
      <c r="V152" s="2"/>
      <c r="W152" s="2"/>
      <c r="X152" s="32"/>
      <c r="Y152" s="32"/>
    </row>
    <row r="153" spans="1:25">
      <c r="A153" s="2"/>
      <c r="B153" s="9"/>
      <c r="C153" s="66" t="s">
        <v>66</v>
      </c>
      <c r="D153" s="74" t="s">
        <v>67</v>
      </c>
      <c r="E153" s="67" t="s">
        <v>77</v>
      </c>
      <c r="F153" s="50"/>
      <c r="G153" s="75"/>
      <c r="H153" s="76"/>
      <c r="I153" s="76"/>
      <c r="J153" s="50"/>
      <c r="K153" s="67"/>
      <c r="L153" s="50" t="s">
        <v>79</v>
      </c>
      <c r="M153" s="68"/>
      <c r="N153" s="364"/>
      <c r="O153" s="364"/>
      <c r="P153" s="364"/>
      <c r="Q153" s="2"/>
      <c r="R153" s="2"/>
      <c r="S153" s="2"/>
      <c r="T153" s="2"/>
      <c r="U153" s="2"/>
      <c r="V153" s="2"/>
      <c r="W153" s="2"/>
      <c r="X153" s="32"/>
      <c r="Y153" s="32"/>
    </row>
    <row r="154" spans="1:25">
      <c r="A154" s="2"/>
      <c r="B154" s="9"/>
      <c r="C154" s="2"/>
      <c r="D154" s="2"/>
      <c r="E154" s="2"/>
      <c r="F154" s="2"/>
      <c r="G154" s="2"/>
      <c r="H154" s="2"/>
      <c r="I154" s="2"/>
      <c r="J154" s="2"/>
      <c r="K154" s="2"/>
      <c r="L154" s="2"/>
      <c r="M154" s="2"/>
      <c r="N154" s="2"/>
      <c r="O154" s="2"/>
      <c r="P154" s="2"/>
      <c r="Q154" s="2"/>
      <c r="R154" s="2"/>
      <c r="S154" s="2"/>
      <c r="T154" s="2"/>
      <c r="U154" s="2"/>
      <c r="V154" s="2"/>
      <c r="W154" s="2"/>
      <c r="X154" s="32"/>
      <c r="Y154" s="32"/>
    </row>
    <row r="155" spans="1:25">
      <c r="A155" s="2"/>
      <c r="B155" s="9"/>
      <c r="C155" s="2"/>
      <c r="D155" s="2"/>
      <c r="E155" s="2"/>
      <c r="F155" s="2"/>
      <c r="G155" s="2"/>
      <c r="H155" s="2"/>
      <c r="I155" s="2"/>
      <c r="J155" s="2"/>
      <c r="K155" s="2"/>
      <c r="L155" s="2"/>
      <c r="M155" s="2"/>
      <c r="N155" s="2"/>
      <c r="O155" s="2"/>
      <c r="P155" s="2"/>
      <c r="Q155" s="2"/>
      <c r="R155" s="2"/>
      <c r="S155" s="2"/>
      <c r="T155" s="2"/>
      <c r="U155" s="2"/>
      <c r="V155" s="2"/>
      <c r="W155" s="2"/>
      <c r="X155" s="2"/>
      <c r="Y155" s="2"/>
    </row>
    <row r="156" spans="1:25">
      <c r="A156" s="2"/>
      <c r="B156" s="9"/>
      <c r="C156" s="2"/>
      <c r="D156" s="2"/>
      <c r="E156" s="2"/>
      <c r="F156" s="2"/>
      <c r="G156" s="2"/>
      <c r="H156" s="2"/>
      <c r="I156" s="2"/>
      <c r="J156" s="2"/>
      <c r="K156" s="2"/>
      <c r="L156" s="2"/>
      <c r="M156" s="2"/>
      <c r="N156" s="2"/>
      <c r="O156" s="2"/>
      <c r="P156" s="2"/>
      <c r="Q156" s="2"/>
      <c r="R156" s="2"/>
      <c r="S156" s="2"/>
      <c r="T156" s="2"/>
      <c r="U156" s="2"/>
      <c r="V156" s="2"/>
      <c r="W156" s="2"/>
      <c r="X156" s="2"/>
      <c r="Y156" s="2"/>
    </row>
    <row r="157" spans="1: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c r="A161" s="2"/>
      <c r="B161" s="9"/>
      <c r="C161" s="2"/>
      <c r="D161" s="2"/>
      <c r="E161" s="2"/>
      <c r="F161" s="2"/>
      <c r="G161" s="2"/>
      <c r="H161" s="2"/>
      <c r="I161" s="2"/>
      <c r="J161" s="2"/>
      <c r="K161" s="2"/>
      <c r="L161" s="2"/>
      <c r="M161" s="2"/>
      <c r="N161" s="2"/>
      <c r="O161" s="2"/>
      <c r="P161" s="2"/>
      <c r="Q161" s="2"/>
      <c r="R161" s="2"/>
      <c r="S161" s="2"/>
      <c r="T161" s="2"/>
      <c r="U161" s="2"/>
      <c r="V161" s="2"/>
      <c r="W161" s="2"/>
      <c r="X161" s="2"/>
      <c r="Y161" s="2"/>
    </row>
    <row r="162" spans="1:25">
      <c r="A162" s="2"/>
      <c r="B162" s="9"/>
      <c r="C162" s="2"/>
      <c r="D162" s="2"/>
      <c r="E162" s="2"/>
      <c r="F162" s="2"/>
      <c r="G162" s="2"/>
      <c r="H162" s="2"/>
      <c r="I162" s="2"/>
      <c r="J162" s="2"/>
      <c r="K162" s="2"/>
      <c r="L162" s="2"/>
      <c r="M162" s="2"/>
      <c r="N162" s="2"/>
      <c r="O162" s="2"/>
      <c r="P162" s="2"/>
      <c r="Q162" s="2"/>
      <c r="R162" s="2"/>
      <c r="S162" s="2"/>
      <c r="T162" s="2"/>
      <c r="U162" s="2"/>
      <c r="V162" s="2"/>
      <c r="W162" s="2"/>
      <c r="X162" s="2"/>
      <c r="Y162" s="2"/>
    </row>
    <row r="163" spans="1:25">
      <c r="A163" s="2"/>
      <c r="B163" s="9"/>
      <c r="C163" s="2"/>
      <c r="D163" s="2"/>
      <c r="E163" s="2"/>
      <c r="F163" s="2"/>
      <c r="G163" s="2"/>
      <c r="H163" s="2"/>
      <c r="I163" s="2"/>
      <c r="J163" s="2"/>
      <c r="K163" s="2"/>
      <c r="L163" s="2"/>
      <c r="M163" s="2"/>
      <c r="N163" s="2"/>
      <c r="O163" s="2"/>
      <c r="P163" s="2"/>
      <c r="Q163" s="2"/>
      <c r="R163" s="2"/>
      <c r="S163" s="2"/>
      <c r="T163" s="2"/>
      <c r="U163" s="2"/>
      <c r="V163" s="2"/>
      <c r="W163" s="2"/>
      <c r="X163" s="2"/>
      <c r="Y163" s="2"/>
    </row>
    <row r="164" spans="1:25">
      <c r="A164" s="2"/>
      <c r="B164" s="9"/>
      <c r="C164" s="2"/>
      <c r="D164" s="2"/>
      <c r="E164" s="2"/>
      <c r="F164" s="2"/>
      <c r="G164" s="2"/>
      <c r="H164" s="2"/>
      <c r="I164" s="2"/>
      <c r="J164" s="2"/>
      <c r="K164" s="2"/>
      <c r="L164" s="2"/>
      <c r="M164" s="2"/>
      <c r="N164" s="2"/>
      <c r="O164" s="2"/>
      <c r="P164" s="2"/>
      <c r="Q164" s="2"/>
      <c r="R164" s="2"/>
      <c r="S164" s="2"/>
      <c r="T164" s="2"/>
      <c r="U164" s="2"/>
      <c r="V164" s="2"/>
      <c r="W164" s="2"/>
      <c r="X164" s="2"/>
      <c r="Y164" s="2"/>
    </row>
    <row r="165" spans="1:25">
      <c r="A165" s="2"/>
      <c r="B165" s="9"/>
      <c r="C165" s="2"/>
      <c r="D165" s="2"/>
      <c r="E165" s="2"/>
      <c r="F165" s="2"/>
      <c r="G165" s="2"/>
      <c r="H165" s="2"/>
      <c r="I165" s="2"/>
      <c r="J165" s="2"/>
      <c r="K165" s="2"/>
      <c r="L165" s="2"/>
      <c r="M165" s="2"/>
      <c r="N165" s="2"/>
      <c r="O165" s="2"/>
      <c r="P165" s="2"/>
      <c r="Q165" s="2"/>
      <c r="R165" s="2"/>
      <c r="S165" s="2"/>
      <c r="T165" s="2"/>
      <c r="U165" s="2"/>
      <c r="V165" s="2"/>
      <c r="W165" s="2"/>
      <c r="X165" s="2"/>
      <c r="Y165" s="2"/>
    </row>
    <row r="166" spans="1:25">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c r="A167" s="2"/>
      <c r="B167" s="9"/>
      <c r="C167" s="2"/>
      <c r="D167" s="2"/>
      <c r="E167" s="2"/>
      <c r="F167" s="2"/>
      <c r="G167" s="2"/>
      <c r="H167" s="2"/>
      <c r="I167" s="2"/>
      <c r="J167" s="2"/>
      <c r="K167" s="2"/>
      <c r="L167" s="2"/>
      <c r="M167" s="2"/>
      <c r="N167" s="2"/>
      <c r="O167" s="2"/>
      <c r="P167" s="2"/>
      <c r="Q167" s="2"/>
      <c r="R167" s="2"/>
      <c r="S167" s="2"/>
      <c r="T167" s="2"/>
      <c r="U167" s="2"/>
      <c r="V167" s="2"/>
      <c r="W167" s="2"/>
      <c r="X167" s="2"/>
      <c r="Y167" s="2"/>
    </row>
    <row r="168" spans="1:25">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c r="A169" s="2"/>
      <c r="B169" s="9"/>
      <c r="C169" s="2"/>
      <c r="D169" s="2"/>
      <c r="E169" s="2"/>
      <c r="F169" s="2"/>
      <c r="G169" s="2"/>
      <c r="H169" s="2"/>
      <c r="I169" s="2"/>
      <c r="J169" s="2"/>
      <c r="K169" s="2"/>
      <c r="L169" s="2"/>
      <c r="M169" s="2"/>
      <c r="N169" s="2"/>
      <c r="O169" s="2"/>
      <c r="P169" s="2"/>
      <c r="Q169" s="2"/>
      <c r="R169" s="2"/>
      <c r="S169" s="2"/>
      <c r="T169" s="2"/>
      <c r="U169" s="2"/>
      <c r="V169" s="2"/>
      <c r="W169" s="2"/>
      <c r="X169" s="2"/>
      <c r="Y169" s="2"/>
    </row>
    <row r="170" spans="1:25">
      <c r="A170" s="2"/>
      <c r="B170" s="9"/>
      <c r="C170" s="2"/>
      <c r="D170" s="2"/>
      <c r="E170" s="2"/>
      <c r="F170" s="2"/>
      <c r="G170" s="2"/>
      <c r="H170" s="2"/>
      <c r="I170" s="2"/>
      <c r="J170" s="2"/>
      <c r="K170" s="2"/>
      <c r="L170" s="2"/>
      <c r="M170" s="2"/>
      <c r="N170" s="2"/>
      <c r="O170" s="2"/>
      <c r="P170" s="2"/>
      <c r="Q170" s="2"/>
      <c r="R170" s="2"/>
      <c r="S170" s="2"/>
      <c r="T170" s="2"/>
      <c r="U170" s="2"/>
      <c r="V170" s="2"/>
      <c r="W170" s="2"/>
      <c r="X170" s="2"/>
      <c r="Y170" s="2"/>
    </row>
    <row r="171" spans="1:25">
      <c r="A171" s="2"/>
      <c r="B171" s="9"/>
      <c r="C171" s="2"/>
      <c r="D171" s="2"/>
      <c r="E171" s="2"/>
      <c r="F171" s="2"/>
      <c r="G171" s="2"/>
      <c r="H171" s="2"/>
      <c r="I171" s="2"/>
      <c r="J171" s="2"/>
      <c r="K171" s="2"/>
      <c r="L171" s="2"/>
      <c r="M171" s="2"/>
      <c r="N171" s="2"/>
      <c r="O171" s="2"/>
      <c r="P171" s="2"/>
      <c r="Q171" s="2"/>
      <c r="R171" s="2"/>
      <c r="S171" s="2"/>
      <c r="T171" s="2"/>
      <c r="U171" s="2"/>
      <c r="V171" s="2"/>
      <c r="W171" s="2"/>
      <c r="X171" s="2"/>
      <c r="Y171" s="2"/>
    </row>
    <row r="172" spans="1:25">
      <c r="A172" s="2"/>
      <c r="B172" s="9"/>
      <c r="C172" s="2"/>
      <c r="D172" s="2"/>
      <c r="E172" s="2"/>
      <c r="F172" s="2"/>
      <c r="G172" s="2"/>
      <c r="H172" s="2"/>
      <c r="I172" s="2"/>
      <c r="J172" s="2"/>
      <c r="K172" s="2"/>
      <c r="L172" s="2"/>
      <c r="M172" s="2"/>
      <c r="N172" s="2"/>
      <c r="O172" s="2"/>
      <c r="P172" s="2"/>
      <c r="Q172" s="2"/>
      <c r="R172" s="2"/>
      <c r="S172" s="2"/>
      <c r="T172" s="2"/>
      <c r="U172" s="2"/>
      <c r="V172" s="2"/>
      <c r="W172" s="2"/>
      <c r="X172" s="2"/>
      <c r="Y172" s="2"/>
    </row>
    <row r="173" spans="1:25">
      <c r="A173" s="2"/>
      <c r="B173" s="9"/>
      <c r="C173" s="2"/>
      <c r="D173" s="2"/>
      <c r="E173" s="2"/>
      <c r="F173" s="2"/>
      <c r="G173" s="2"/>
      <c r="H173" s="2"/>
      <c r="I173" s="2"/>
      <c r="J173" s="2"/>
      <c r="K173" s="2"/>
      <c r="L173" s="2"/>
      <c r="M173" s="2"/>
      <c r="N173" s="2"/>
      <c r="O173" s="2"/>
      <c r="P173" s="2"/>
      <c r="Q173" s="2"/>
      <c r="R173" s="2"/>
      <c r="S173" s="2"/>
      <c r="T173" s="2"/>
      <c r="U173" s="2"/>
      <c r="V173" s="2"/>
      <c r="W173" s="2"/>
      <c r="X173" s="2"/>
      <c r="Y173" s="2"/>
    </row>
    <row r="174" spans="1:25">
      <c r="A174" s="2"/>
      <c r="B174" s="9"/>
      <c r="C174" s="2"/>
      <c r="D174" s="2"/>
      <c r="E174" s="2"/>
      <c r="F174" s="2"/>
      <c r="G174" s="2"/>
      <c r="H174" s="2"/>
      <c r="I174" s="2"/>
      <c r="J174" s="2"/>
      <c r="K174" s="2"/>
      <c r="L174" s="2"/>
      <c r="M174" s="2"/>
      <c r="N174" s="2"/>
      <c r="O174" s="2"/>
      <c r="P174" s="2"/>
      <c r="Q174" s="2"/>
      <c r="R174" s="2"/>
      <c r="S174" s="2"/>
      <c r="T174" s="2"/>
      <c r="U174" s="2"/>
      <c r="V174" s="2"/>
      <c r="W174" s="2"/>
      <c r="X174" s="2"/>
      <c r="Y174" s="2"/>
    </row>
    <row r="175" spans="1:25">
      <c r="A175" s="2"/>
      <c r="B175" s="9"/>
      <c r="C175" s="2"/>
      <c r="D175" s="2"/>
      <c r="E175" s="2"/>
      <c r="F175" s="2"/>
      <c r="G175" s="2"/>
      <c r="H175" s="2"/>
      <c r="I175" s="2"/>
      <c r="J175" s="2"/>
      <c r="K175" s="2"/>
      <c r="L175" s="2"/>
      <c r="M175" s="2"/>
      <c r="N175" s="2"/>
      <c r="O175" s="2"/>
      <c r="P175" s="2"/>
      <c r="Q175" s="2"/>
      <c r="R175" s="2"/>
      <c r="S175" s="2"/>
      <c r="T175" s="2"/>
      <c r="U175" s="2"/>
      <c r="V175" s="2"/>
      <c r="W175" s="2"/>
      <c r="X175" s="2"/>
      <c r="Y175" s="2"/>
    </row>
    <row r="176" spans="1:25">
      <c r="A176" s="2"/>
      <c r="B176" s="9"/>
      <c r="C176" s="2"/>
      <c r="D176" s="2"/>
      <c r="E176" s="2"/>
      <c r="F176" s="2"/>
      <c r="G176" s="2"/>
      <c r="H176" s="2"/>
      <c r="I176" s="2"/>
      <c r="J176" s="2"/>
      <c r="K176" s="2"/>
      <c r="L176" s="2"/>
      <c r="M176" s="2"/>
      <c r="N176" s="2"/>
      <c r="O176" s="2"/>
      <c r="P176" s="2"/>
      <c r="Q176" s="2"/>
      <c r="R176" s="2"/>
      <c r="S176" s="2"/>
      <c r="T176" s="2"/>
      <c r="U176" s="2"/>
      <c r="V176" s="2"/>
      <c r="W176" s="2"/>
      <c r="X176" s="2"/>
      <c r="Y176" s="2"/>
    </row>
    <row r="177" spans="1:25">
      <c r="A177" s="2"/>
      <c r="B177" s="9"/>
      <c r="C177" s="2"/>
      <c r="D177" s="2"/>
      <c r="E177" s="2"/>
      <c r="F177" s="2"/>
      <c r="G177" s="2"/>
      <c r="H177" s="2"/>
      <c r="I177" s="2"/>
      <c r="J177" s="2"/>
      <c r="K177" s="2"/>
      <c r="L177" s="2"/>
      <c r="M177" s="2"/>
      <c r="N177" s="2"/>
      <c r="O177" s="2"/>
      <c r="P177" s="2"/>
      <c r="Q177" s="2"/>
      <c r="R177" s="2"/>
      <c r="S177" s="2"/>
      <c r="T177" s="2"/>
      <c r="U177" s="2"/>
      <c r="V177" s="2"/>
      <c r="W177" s="2"/>
      <c r="X177" s="2"/>
      <c r="Y177" s="2"/>
    </row>
    <row r="178" spans="1:25">
      <c r="A178" s="2"/>
      <c r="B178" s="9"/>
      <c r="C178" s="2"/>
      <c r="D178" s="2"/>
      <c r="E178" s="2"/>
      <c r="F178" s="2"/>
      <c r="G178" s="2"/>
      <c r="H178" s="2"/>
      <c r="I178" s="2"/>
      <c r="J178" s="2"/>
      <c r="K178" s="2"/>
      <c r="L178" s="2"/>
      <c r="M178" s="2"/>
      <c r="N178" s="2"/>
      <c r="O178" s="2"/>
      <c r="P178" s="2"/>
      <c r="Q178" s="2"/>
      <c r="R178" s="2"/>
      <c r="S178" s="2"/>
      <c r="T178" s="2"/>
      <c r="U178" s="2"/>
      <c r="V178" s="2"/>
      <c r="W178" s="2"/>
      <c r="X178" s="2"/>
      <c r="Y178" s="2"/>
    </row>
    <row r="179" spans="1:25">
      <c r="A179" s="2"/>
      <c r="B179" s="9"/>
      <c r="C179" s="2"/>
      <c r="D179" s="2"/>
      <c r="E179" s="2"/>
      <c r="F179" s="2"/>
      <c r="G179" s="2"/>
      <c r="H179" s="2"/>
      <c r="I179" s="2"/>
      <c r="J179" s="2"/>
      <c r="K179" s="2"/>
      <c r="L179" s="2"/>
      <c r="M179" s="2"/>
      <c r="N179" s="2"/>
      <c r="O179" s="2"/>
      <c r="P179" s="2"/>
      <c r="Q179" s="2"/>
      <c r="R179" s="2"/>
      <c r="S179" s="2"/>
      <c r="T179" s="2"/>
      <c r="U179" s="2"/>
      <c r="V179" s="2"/>
      <c r="W179" s="2"/>
      <c r="X179" s="2"/>
      <c r="Y179" s="2"/>
    </row>
    <row r="180" spans="1:25">
      <c r="A180" s="2"/>
      <c r="B180" s="9"/>
      <c r="C180" s="2"/>
      <c r="D180" s="2"/>
      <c r="E180" s="2"/>
      <c r="F180" s="2"/>
      <c r="G180" s="2"/>
      <c r="H180" s="2"/>
      <c r="I180" s="2"/>
      <c r="J180" s="2"/>
      <c r="K180" s="2"/>
      <c r="L180" s="2"/>
      <c r="M180" s="2"/>
      <c r="N180" s="2"/>
      <c r="O180" s="2"/>
      <c r="P180" s="2"/>
      <c r="Q180" s="2"/>
      <c r="R180" s="2"/>
      <c r="S180" s="2"/>
      <c r="T180" s="2"/>
      <c r="U180" s="2"/>
      <c r="V180" s="2"/>
      <c r="W180" s="2"/>
      <c r="X180" s="2"/>
      <c r="Y180" s="2"/>
    </row>
    <row r="181" spans="1:25">
      <c r="A181" s="2"/>
      <c r="B181" s="9"/>
      <c r="C181" s="2"/>
      <c r="D181" s="2"/>
      <c r="E181" s="2"/>
      <c r="F181" s="2"/>
      <c r="G181" s="2"/>
      <c r="H181" s="2"/>
      <c r="I181" s="2"/>
      <c r="J181" s="2"/>
      <c r="K181" s="2"/>
      <c r="L181" s="2"/>
      <c r="M181" s="2"/>
      <c r="N181" s="2"/>
      <c r="O181" s="2"/>
      <c r="P181" s="2"/>
      <c r="Q181" s="2"/>
      <c r="R181" s="2"/>
      <c r="S181" s="2"/>
      <c r="T181" s="2"/>
      <c r="U181" s="2"/>
      <c r="V181" s="2"/>
      <c r="W181" s="2"/>
      <c r="X181" s="2"/>
      <c r="Y181" s="2"/>
    </row>
    <row r="182" spans="1:25">
      <c r="A182" s="2"/>
      <c r="B182" s="9"/>
      <c r="C182" s="2"/>
      <c r="D182" s="2"/>
      <c r="E182" s="2"/>
      <c r="F182" s="2"/>
      <c r="G182" s="2"/>
      <c r="H182" s="2"/>
      <c r="I182" s="2"/>
      <c r="J182" s="2"/>
      <c r="K182" s="2"/>
      <c r="L182" s="2"/>
      <c r="M182" s="2"/>
      <c r="N182" s="2"/>
      <c r="O182" s="2"/>
      <c r="P182" s="2"/>
      <c r="Q182" s="2"/>
      <c r="R182" s="2"/>
      <c r="S182" s="2"/>
      <c r="T182" s="2"/>
      <c r="U182" s="2"/>
      <c r="V182" s="2"/>
      <c r="W182" s="2"/>
      <c r="X182" s="2"/>
      <c r="Y182" s="2"/>
    </row>
    <row r="183" spans="1:25">
      <c r="A183" s="2"/>
      <c r="B183" s="9"/>
      <c r="C183" s="2"/>
      <c r="D183" s="2"/>
      <c r="E183" s="2"/>
      <c r="F183" s="2"/>
      <c r="G183" s="2"/>
      <c r="H183" s="2"/>
      <c r="I183" s="2"/>
      <c r="J183" s="2"/>
      <c r="K183" s="2"/>
      <c r="L183" s="2"/>
      <c r="M183" s="2"/>
      <c r="N183" s="2"/>
      <c r="O183" s="2"/>
      <c r="P183" s="2"/>
      <c r="Q183" s="2"/>
      <c r="R183" s="2"/>
      <c r="S183" s="2"/>
      <c r="T183" s="2"/>
      <c r="U183" s="2"/>
      <c r="V183" s="2"/>
      <c r="W183" s="2"/>
      <c r="X183" s="2"/>
      <c r="Y183" s="2"/>
    </row>
    <row r="184" spans="1:25">
      <c r="A184" s="2"/>
      <c r="B184" s="9"/>
      <c r="C184" s="2"/>
      <c r="D184" s="2"/>
      <c r="E184" s="2"/>
      <c r="F184" s="2"/>
      <c r="G184" s="2"/>
      <c r="H184" s="2"/>
      <c r="I184" s="2"/>
      <c r="J184" s="2"/>
      <c r="K184" s="2"/>
      <c r="L184" s="2"/>
      <c r="M184" s="2"/>
      <c r="N184" s="2"/>
      <c r="O184" s="2"/>
      <c r="P184" s="2"/>
      <c r="Q184" s="2"/>
      <c r="R184" s="2"/>
      <c r="S184" s="2"/>
      <c r="T184" s="2"/>
      <c r="U184" s="2"/>
      <c r="V184" s="2"/>
      <c r="W184" s="2"/>
      <c r="X184" s="2"/>
      <c r="Y184" s="2"/>
    </row>
    <row r="185" spans="1:25">
      <c r="A185" s="2"/>
      <c r="B185" s="9"/>
      <c r="C185" s="2"/>
      <c r="D185" s="2"/>
      <c r="E185" s="2"/>
      <c r="F185" s="2"/>
      <c r="G185" s="2"/>
      <c r="H185" s="2"/>
      <c r="I185" s="2"/>
      <c r="J185" s="2"/>
      <c r="K185" s="2"/>
      <c r="L185" s="2"/>
      <c r="M185" s="2"/>
      <c r="N185" s="2"/>
      <c r="O185" s="2"/>
      <c r="P185" s="2"/>
      <c r="Q185" s="2"/>
      <c r="R185" s="2"/>
      <c r="S185" s="2"/>
      <c r="T185" s="2"/>
      <c r="U185" s="2"/>
      <c r="V185" s="2"/>
      <c r="W185" s="2"/>
      <c r="X185" s="2"/>
      <c r="Y185" s="2"/>
    </row>
    <row r="186" spans="1:25">
      <c r="A186" s="2"/>
      <c r="B186" s="9"/>
      <c r="C186" s="2"/>
      <c r="D186" s="2"/>
      <c r="E186" s="2"/>
      <c r="F186" s="2"/>
      <c r="G186" s="2"/>
      <c r="H186" s="2"/>
      <c r="I186" s="2"/>
      <c r="J186" s="2"/>
      <c r="K186" s="2"/>
      <c r="L186" s="2"/>
      <c r="M186" s="2"/>
      <c r="N186" s="2"/>
      <c r="O186" s="2"/>
      <c r="P186" s="2"/>
      <c r="Q186" s="2"/>
      <c r="R186" s="2"/>
      <c r="S186" s="2"/>
      <c r="T186" s="2"/>
      <c r="U186" s="2"/>
      <c r="V186" s="2"/>
      <c r="W186" s="2"/>
      <c r="X186" s="2"/>
      <c r="Y186" s="2"/>
    </row>
    <row r="187" spans="1:25">
      <c r="A187" s="2"/>
      <c r="B187" s="9"/>
      <c r="C187" s="2"/>
      <c r="D187" s="2"/>
      <c r="E187" s="2"/>
      <c r="F187" s="2"/>
      <c r="G187" s="2"/>
      <c r="H187" s="2"/>
      <c r="I187" s="2"/>
      <c r="J187" s="2"/>
      <c r="K187" s="2"/>
      <c r="L187" s="2"/>
      <c r="M187" s="2"/>
      <c r="N187" s="2"/>
      <c r="O187" s="2"/>
      <c r="P187" s="2"/>
      <c r="Q187" s="2"/>
      <c r="R187" s="2"/>
      <c r="S187" s="2"/>
      <c r="T187" s="2"/>
      <c r="U187" s="2"/>
      <c r="V187" s="2"/>
      <c r="W187" s="2"/>
      <c r="X187" s="2"/>
      <c r="Y187" s="2"/>
    </row>
    <row r="188" spans="1:25">
      <c r="A188" s="2"/>
      <c r="B188" s="9"/>
      <c r="C188" s="2"/>
      <c r="D188" s="2"/>
      <c r="E188" s="2"/>
      <c r="F188" s="2"/>
      <c r="G188" s="2"/>
      <c r="H188" s="2"/>
      <c r="I188" s="2"/>
      <c r="J188" s="2"/>
      <c r="K188" s="2"/>
      <c r="L188" s="2"/>
      <c r="M188" s="2"/>
      <c r="N188" s="2"/>
      <c r="O188" s="2"/>
      <c r="P188" s="2"/>
      <c r="Q188" s="2"/>
      <c r="R188" s="2"/>
      <c r="S188" s="2"/>
      <c r="T188" s="2"/>
      <c r="U188" s="2"/>
      <c r="V188" s="2"/>
      <c r="W188" s="2"/>
      <c r="X188" s="2"/>
      <c r="Y188" s="2"/>
    </row>
    <row r="189" spans="1:25">
      <c r="A189" s="2"/>
      <c r="B189" s="9"/>
      <c r="C189" s="2"/>
      <c r="D189" s="2"/>
      <c r="E189" s="2"/>
      <c r="F189" s="2"/>
      <c r="G189" s="2"/>
      <c r="H189" s="2"/>
      <c r="I189" s="2"/>
      <c r="J189" s="2"/>
      <c r="K189" s="2"/>
      <c r="L189" s="2"/>
      <c r="M189" s="2"/>
      <c r="N189" s="2"/>
      <c r="O189" s="2"/>
      <c r="P189" s="2"/>
      <c r="Q189" s="2"/>
      <c r="R189" s="2"/>
      <c r="S189" s="2"/>
      <c r="T189" s="2"/>
      <c r="U189" s="2"/>
      <c r="V189" s="2"/>
      <c r="W189" s="2"/>
      <c r="X189" s="2"/>
      <c r="Y189" s="2"/>
    </row>
    <row r="190" spans="1:25">
      <c r="A190" s="2"/>
      <c r="B190" s="9"/>
      <c r="C190" s="2"/>
      <c r="D190" s="2"/>
      <c r="E190" s="2"/>
      <c r="F190" s="2"/>
      <c r="G190" s="2"/>
      <c r="H190" s="2"/>
      <c r="I190" s="2"/>
      <c r="J190" s="2"/>
      <c r="K190" s="2"/>
      <c r="L190" s="2"/>
      <c r="M190" s="2"/>
      <c r="N190" s="2"/>
      <c r="O190" s="2"/>
      <c r="P190" s="2"/>
      <c r="Q190" s="2"/>
      <c r="R190" s="2"/>
      <c r="S190" s="2"/>
      <c r="T190" s="2"/>
      <c r="U190" s="2"/>
      <c r="V190" s="2"/>
      <c r="W190" s="2"/>
      <c r="X190" s="2"/>
      <c r="Y190" s="2"/>
    </row>
    <row r="191" spans="1:25">
      <c r="A191" s="2"/>
      <c r="B191" s="9"/>
      <c r="C191" s="2"/>
      <c r="D191" s="2"/>
      <c r="E191" s="2"/>
      <c r="F191" s="2"/>
      <c r="G191" s="2"/>
      <c r="H191" s="2"/>
      <c r="I191" s="2"/>
      <c r="J191" s="2"/>
      <c r="K191" s="2"/>
      <c r="L191" s="2"/>
      <c r="M191" s="2"/>
      <c r="N191" s="2"/>
      <c r="O191" s="2"/>
      <c r="P191" s="2"/>
      <c r="Q191" s="2"/>
      <c r="R191" s="2"/>
      <c r="S191" s="2"/>
      <c r="T191" s="2"/>
      <c r="U191" s="2"/>
      <c r="V191" s="2"/>
      <c r="W191" s="2"/>
      <c r="X191" s="2"/>
      <c r="Y191" s="2"/>
    </row>
    <row r="192" spans="1:25">
      <c r="A192" s="2"/>
      <c r="B192" s="9"/>
      <c r="C192" s="2"/>
      <c r="D192" s="2"/>
      <c r="E192" s="2"/>
      <c r="F192" s="2"/>
      <c r="G192" s="2"/>
      <c r="H192" s="2"/>
      <c r="I192" s="2"/>
      <c r="J192" s="2"/>
      <c r="K192" s="2"/>
      <c r="L192" s="2"/>
      <c r="M192" s="2"/>
      <c r="N192" s="2"/>
      <c r="O192" s="2"/>
      <c r="P192" s="2"/>
      <c r="Q192" s="2"/>
      <c r="R192" s="2"/>
      <c r="S192" s="2"/>
      <c r="T192" s="2"/>
      <c r="U192" s="2"/>
      <c r="V192" s="2"/>
      <c r="W192" s="2"/>
      <c r="X192" s="2"/>
      <c r="Y192" s="2"/>
    </row>
    <row r="193" spans="1:25">
      <c r="A193" s="2"/>
      <c r="B193" s="9"/>
      <c r="C193" s="2"/>
      <c r="D193" s="2"/>
      <c r="E193" s="2"/>
      <c r="F193" s="2"/>
      <c r="G193" s="2"/>
      <c r="H193" s="2"/>
      <c r="I193" s="2"/>
      <c r="J193" s="2"/>
      <c r="K193" s="2"/>
      <c r="L193" s="2"/>
      <c r="M193" s="2"/>
      <c r="N193" s="2"/>
      <c r="O193" s="2"/>
      <c r="P193" s="2"/>
      <c r="Q193" s="2"/>
      <c r="R193" s="2"/>
      <c r="S193" s="2"/>
      <c r="T193" s="2"/>
      <c r="U193" s="2"/>
      <c r="V193" s="2"/>
      <c r="W193" s="2"/>
      <c r="X193" s="2"/>
      <c r="Y193" s="2"/>
    </row>
    <row r="194" spans="1:25">
      <c r="A194" s="2"/>
      <c r="B194" s="9"/>
      <c r="C194" s="2"/>
      <c r="D194" s="2"/>
      <c r="E194" s="2"/>
      <c r="F194" s="2"/>
      <c r="G194" s="2"/>
      <c r="H194" s="2"/>
      <c r="I194" s="2"/>
      <c r="J194" s="2"/>
      <c r="K194" s="2"/>
      <c r="L194" s="2"/>
      <c r="M194" s="2"/>
      <c r="N194" s="2"/>
      <c r="O194" s="2"/>
      <c r="P194" s="2"/>
      <c r="Q194" s="2"/>
      <c r="R194" s="2"/>
      <c r="S194" s="2"/>
      <c r="T194" s="2"/>
      <c r="U194" s="2"/>
      <c r="V194" s="2"/>
      <c r="W194" s="2"/>
      <c r="X194" s="2"/>
      <c r="Y194" s="2"/>
    </row>
    <row r="195" spans="1:25">
      <c r="A195" s="2"/>
      <c r="B195" s="9"/>
      <c r="C195" s="2"/>
      <c r="D195" s="2"/>
      <c r="E195" s="2"/>
      <c r="F195" s="2"/>
      <c r="G195" s="2"/>
      <c r="H195" s="2"/>
      <c r="I195" s="2"/>
      <c r="J195" s="2"/>
      <c r="K195" s="2"/>
      <c r="L195" s="2"/>
      <c r="M195" s="2"/>
      <c r="N195" s="2"/>
      <c r="O195" s="2"/>
      <c r="P195" s="2"/>
      <c r="Q195" s="2"/>
      <c r="R195" s="2"/>
      <c r="S195" s="2"/>
      <c r="T195" s="2"/>
      <c r="U195" s="2"/>
      <c r="V195" s="2"/>
      <c r="W195" s="2"/>
      <c r="X195" s="2"/>
      <c r="Y195" s="2"/>
    </row>
    <row r="196" spans="1:25">
      <c r="A196" s="2"/>
      <c r="B196" s="9"/>
      <c r="C196" s="2"/>
      <c r="D196" s="2"/>
      <c r="E196" s="2"/>
      <c r="F196" s="2"/>
      <c r="G196" s="2"/>
      <c r="H196" s="2"/>
      <c r="I196" s="2"/>
      <c r="J196" s="2"/>
      <c r="K196" s="2"/>
      <c r="L196" s="2"/>
      <c r="M196" s="2"/>
      <c r="N196" s="2"/>
      <c r="O196" s="2"/>
      <c r="P196" s="2"/>
      <c r="Q196" s="2"/>
      <c r="R196" s="2"/>
      <c r="S196" s="2"/>
      <c r="T196" s="2"/>
      <c r="U196" s="2"/>
      <c r="V196" s="2"/>
      <c r="W196" s="2"/>
      <c r="X196" s="2"/>
      <c r="Y196" s="2"/>
    </row>
    <row r="197" spans="1:25">
      <c r="A197" s="2"/>
      <c r="B197" s="9"/>
      <c r="C197" s="2"/>
      <c r="D197" s="2"/>
      <c r="E197" s="2"/>
      <c r="F197" s="2"/>
      <c r="G197" s="2"/>
      <c r="H197" s="2"/>
      <c r="I197" s="2"/>
      <c r="J197" s="2"/>
      <c r="K197" s="2"/>
      <c r="L197" s="2"/>
      <c r="M197" s="2"/>
      <c r="N197" s="2"/>
      <c r="O197" s="2"/>
      <c r="P197" s="2"/>
      <c r="Q197" s="2"/>
      <c r="R197" s="2"/>
      <c r="S197" s="2"/>
      <c r="T197" s="2"/>
      <c r="U197" s="2"/>
      <c r="V197" s="2"/>
      <c r="W197" s="2"/>
      <c r="X197" s="2"/>
      <c r="Y197" s="2"/>
    </row>
    <row r="198" spans="1:25">
      <c r="A198" s="2"/>
      <c r="B198" s="9"/>
      <c r="C198" s="2"/>
      <c r="D198" s="2"/>
      <c r="E198" s="2"/>
      <c r="F198" s="2"/>
      <c r="G198" s="2"/>
      <c r="H198" s="2"/>
      <c r="I198" s="2"/>
      <c r="J198" s="2"/>
      <c r="K198" s="2"/>
      <c r="L198" s="2"/>
      <c r="M198" s="2"/>
      <c r="N198" s="2"/>
      <c r="O198" s="2"/>
      <c r="P198" s="2"/>
      <c r="Q198" s="2"/>
      <c r="R198" s="2"/>
      <c r="S198" s="2"/>
      <c r="T198" s="2"/>
      <c r="U198" s="2"/>
      <c r="V198" s="2"/>
      <c r="W198" s="2"/>
      <c r="X198" s="2"/>
      <c r="Y198" s="2"/>
    </row>
    <row r="199" spans="1:25">
      <c r="A199" s="2"/>
      <c r="B199" s="9"/>
      <c r="C199" s="2"/>
      <c r="D199" s="2"/>
      <c r="E199" s="2"/>
      <c r="F199" s="2"/>
      <c r="G199" s="2"/>
      <c r="H199" s="2"/>
      <c r="I199" s="2"/>
      <c r="J199" s="2"/>
      <c r="K199" s="2"/>
      <c r="L199" s="2"/>
      <c r="M199" s="2"/>
      <c r="N199" s="2"/>
      <c r="O199" s="2"/>
      <c r="P199" s="2"/>
      <c r="Q199" s="2"/>
      <c r="R199" s="2"/>
      <c r="S199" s="2"/>
      <c r="T199" s="2"/>
      <c r="U199" s="2"/>
      <c r="V199" s="2"/>
      <c r="W199" s="2"/>
      <c r="X199" s="2"/>
      <c r="Y199" s="2"/>
    </row>
    <row r="200" spans="1:25">
      <c r="A200" s="2"/>
      <c r="B200" s="9"/>
      <c r="C200" s="2"/>
      <c r="D200" s="2"/>
      <c r="E200" s="2"/>
      <c r="F200" s="2"/>
      <c r="G200" s="2"/>
      <c r="H200" s="2"/>
      <c r="I200" s="2"/>
      <c r="J200" s="2"/>
      <c r="K200" s="2"/>
      <c r="L200" s="2"/>
      <c r="M200" s="2"/>
      <c r="N200" s="2"/>
      <c r="O200" s="2"/>
      <c r="P200" s="2"/>
      <c r="Q200" s="2"/>
      <c r="R200" s="2"/>
      <c r="S200" s="2"/>
      <c r="T200" s="2"/>
      <c r="U200" s="2"/>
      <c r="V200" s="2"/>
      <c r="W200" s="2"/>
      <c r="X200" s="2"/>
      <c r="Y200" s="2"/>
    </row>
    <row r="201" spans="1:25">
      <c r="A201" s="2"/>
      <c r="B201" s="9"/>
      <c r="C201" s="2"/>
      <c r="D201" s="2"/>
      <c r="E201" s="2"/>
      <c r="F201" s="2"/>
      <c r="G201" s="2"/>
      <c r="H201" s="2"/>
      <c r="I201" s="2"/>
      <c r="J201" s="2"/>
      <c r="K201" s="2"/>
      <c r="L201" s="2"/>
      <c r="M201" s="2"/>
      <c r="N201" s="2"/>
      <c r="O201" s="2"/>
      <c r="P201" s="2"/>
      <c r="Q201" s="2"/>
      <c r="R201" s="2"/>
      <c r="S201" s="2"/>
      <c r="T201" s="2"/>
      <c r="U201" s="2"/>
      <c r="V201" s="2"/>
      <c r="W201" s="2"/>
      <c r="X201" s="2"/>
      <c r="Y201" s="2"/>
    </row>
    <row r="202" spans="1:25">
      <c r="A202" s="2"/>
      <c r="B202" s="9"/>
      <c r="C202" s="2"/>
      <c r="D202" s="2"/>
      <c r="E202" s="2"/>
      <c r="F202" s="2"/>
      <c r="G202" s="2"/>
      <c r="H202" s="2"/>
      <c r="I202" s="2"/>
      <c r="J202" s="2"/>
      <c r="K202" s="2"/>
      <c r="L202" s="2"/>
      <c r="M202" s="2"/>
      <c r="N202" s="2"/>
      <c r="O202" s="2"/>
      <c r="P202" s="2"/>
      <c r="Q202" s="2"/>
      <c r="R202" s="2"/>
      <c r="S202" s="2"/>
      <c r="T202" s="2"/>
      <c r="U202" s="2"/>
      <c r="V202" s="2"/>
      <c r="W202" s="2"/>
      <c r="X202" s="2"/>
      <c r="Y202" s="2"/>
    </row>
    <row r="203" spans="1:25">
      <c r="A203" s="2"/>
      <c r="B203" s="9"/>
      <c r="C203" s="2"/>
      <c r="D203" s="2"/>
      <c r="E203" s="2"/>
      <c r="F203" s="2"/>
      <c r="G203" s="2"/>
      <c r="H203" s="2"/>
      <c r="I203" s="2"/>
      <c r="J203" s="2"/>
      <c r="K203" s="2"/>
      <c r="L203" s="2"/>
      <c r="M203" s="2"/>
      <c r="N203" s="2"/>
      <c r="O203" s="2"/>
      <c r="P203" s="2"/>
      <c r="Q203" s="2"/>
      <c r="R203" s="2"/>
      <c r="S203" s="2"/>
      <c r="T203" s="2"/>
      <c r="U203" s="2"/>
      <c r="V203" s="2"/>
      <c r="W203" s="2"/>
      <c r="X203" s="2"/>
      <c r="Y203" s="2"/>
    </row>
    <row r="204" spans="1:25">
      <c r="A204" s="2"/>
      <c r="B204" s="9"/>
      <c r="C204" s="2"/>
      <c r="D204" s="2"/>
      <c r="E204" s="2"/>
      <c r="F204" s="2"/>
      <c r="G204" s="2"/>
      <c r="H204" s="2"/>
      <c r="I204" s="2"/>
      <c r="J204" s="2"/>
      <c r="K204" s="2"/>
      <c r="L204" s="2"/>
      <c r="M204" s="2"/>
      <c r="N204" s="2"/>
      <c r="O204" s="2"/>
      <c r="P204" s="2"/>
      <c r="Q204" s="2"/>
      <c r="R204" s="2"/>
      <c r="S204" s="2"/>
      <c r="T204" s="2"/>
      <c r="U204" s="2"/>
      <c r="V204" s="2"/>
      <c r="W204" s="2"/>
      <c r="X204" s="2"/>
      <c r="Y204" s="2"/>
    </row>
    <row r="205" spans="1:25">
      <c r="A205" s="2"/>
      <c r="B205" s="9"/>
      <c r="C205" s="2"/>
      <c r="D205" s="2"/>
      <c r="E205" s="2"/>
      <c r="F205" s="2"/>
      <c r="G205" s="2"/>
      <c r="H205" s="2"/>
      <c r="I205" s="2"/>
      <c r="J205" s="2"/>
      <c r="K205" s="2"/>
      <c r="L205" s="2"/>
      <c r="M205" s="2"/>
      <c r="N205" s="2"/>
      <c r="O205" s="2"/>
      <c r="P205" s="2"/>
      <c r="Q205" s="2"/>
      <c r="R205" s="2"/>
      <c r="S205" s="2"/>
      <c r="T205" s="2"/>
      <c r="U205" s="2"/>
      <c r="V205" s="2"/>
      <c r="W205" s="2"/>
      <c r="X205" s="2"/>
      <c r="Y205" s="2"/>
    </row>
    <row r="206" spans="1:25">
      <c r="A206" s="2"/>
      <c r="B206" s="9"/>
      <c r="C206" s="2"/>
      <c r="D206" s="2"/>
      <c r="E206" s="2"/>
      <c r="F206" s="2"/>
      <c r="G206" s="2"/>
      <c r="H206" s="2"/>
      <c r="I206" s="2"/>
      <c r="J206" s="2"/>
      <c r="K206" s="2"/>
      <c r="L206" s="2"/>
      <c r="M206" s="2"/>
      <c r="N206" s="2"/>
      <c r="O206" s="2"/>
      <c r="P206" s="2"/>
      <c r="Q206" s="2"/>
      <c r="R206" s="2"/>
      <c r="S206" s="2"/>
      <c r="T206" s="2"/>
      <c r="U206" s="2"/>
      <c r="V206" s="2"/>
      <c r="W206" s="2"/>
      <c r="X206" s="2"/>
      <c r="Y206" s="2"/>
    </row>
    <row r="207" spans="1:25">
      <c r="A207" s="2"/>
      <c r="B207" s="9"/>
      <c r="C207" s="2"/>
      <c r="D207" s="2"/>
      <c r="E207" s="2"/>
      <c r="F207" s="2"/>
      <c r="G207" s="2"/>
      <c r="H207" s="2"/>
      <c r="I207" s="2"/>
      <c r="J207" s="2"/>
      <c r="K207" s="2"/>
      <c r="L207" s="2"/>
      <c r="M207" s="2"/>
      <c r="N207" s="2"/>
      <c r="O207" s="2"/>
      <c r="P207" s="2"/>
      <c r="Q207" s="2"/>
      <c r="R207" s="2"/>
      <c r="S207" s="2"/>
      <c r="T207" s="2"/>
      <c r="U207" s="2"/>
      <c r="V207" s="2"/>
      <c r="W207" s="2"/>
      <c r="X207" s="2"/>
      <c r="Y207" s="2"/>
    </row>
    <row r="208" spans="1:25">
      <c r="A208" s="2"/>
      <c r="B208" s="9"/>
      <c r="C208" s="2"/>
      <c r="D208" s="2"/>
      <c r="E208" s="2"/>
      <c r="F208" s="2"/>
      <c r="G208" s="2"/>
      <c r="H208" s="2"/>
      <c r="I208" s="2"/>
      <c r="J208" s="2"/>
      <c r="K208" s="2"/>
      <c r="L208" s="2"/>
      <c r="M208" s="2"/>
      <c r="N208" s="2"/>
      <c r="O208" s="2"/>
      <c r="P208" s="2"/>
      <c r="Q208" s="2"/>
      <c r="R208" s="2"/>
      <c r="S208" s="2"/>
      <c r="T208" s="2"/>
      <c r="U208" s="2"/>
      <c r="V208" s="2"/>
      <c r="W208" s="2"/>
      <c r="X208" s="2"/>
      <c r="Y208" s="2"/>
    </row>
    <row r="209" spans="1:25">
      <c r="A209" s="2"/>
      <c r="B209" s="77" t="s">
        <v>83</v>
      </c>
      <c r="C209" s="2"/>
      <c r="D209" s="2"/>
      <c r="E209" s="2"/>
      <c r="F209" s="2"/>
      <c r="G209" s="2"/>
      <c r="H209" s="2"/>
      <c r="I209" s="2"/>
      <c r="J209" s="2"/>
      <c r="K209" s="2"/>
      <c r="L209" s="2"/>
      <c r="M209" s="2"/>
      <c r="N209" s="2"/>
      <c r="O209" s="2"/>
      <c r="P209" s="2"/>
      <c r="Q209" s="2"/>
      <c r="R209" s="2"/>
      <c r="S209" s="2"/>
      <c r="T209" s="2"/>
      <c r="U209" s="2"/>
      <c r="V209" s="2"/>
      <c r="W209" s="2"/>
      <c r="X209" s="2"/>
      <c r="Y209" s="2"/>
    </row>
    <row r="210" spans="1:25">
      <c r="A210" s="9"/>
      <c r="B210" s="9"/>
      <c r="C210" s="9" t="s">
        <v>84</v>
      </c>
      <c r="D210" s="9" t="s">
        <v>85</v>
      </c>
      <c r="E210" s="9" t="s">
        <v>86</v>
      </c>
      <c r="F210" s="9"/>
      <c r="G210" s="9"/>
      <c r="H210" s="9" t="s">
        <v>76</v>
      </c>
      <c r="I210" s="9"/>
      <c r="J210" s="9" t="s">
        <v>75</v>
      </c>
      <c r="K210" s="9"/>
      <c r="L210" s="9"/>
      <c r="M210" s="9"/>
      <c r="N210" s="9"/>
      <c r="O210" s="9"/>
      <c r="P210" s="9"/>
      <c r="Q210" s="9"/>
      <c r="R210" s="9"/>
      <c r="S210" s="9"/>
      <c r="T210" s="9"/>
      <c r="U210" s="9"/>
      <c r="V210" s="9"/>
      <c r="W210" s="9"/>
      <c r="X210" s="9"/>
      <c r="Y210" s="9"/>
    </row>
    <row r="211" spans="1:25">
      <c r="A211" s="2"/>
      <c r="B211" s="9"/>
      <c r="C211" s="78" t="s">
        <v>79</v>
      </c>
      <c r="D211" s="78" t="s">
        <v>79</v>
      </c>
      <c r="E211" s="78" t="s">
        <v>79</v>
      </c>
      <c r="F211" s="2"/>
      <c r="G211" s="2"/>
      <c r="H211" s="78" t="s">
        <v>79</v>
      </c>
      <c r="I211" s="2"/>
      <c r="J211" s="2"/>
      <c r="K211" s="2"/>
      <c r="L211" s="2"/>
      <c r="M211" s="2"/>
      <c r="N211" s="2"/>
      <c r="O211" s="2"/>
      <c r="P211" s="2"/>
      <c r="Q211" s="2"/>
      <c r="R211" s="2"/>
      <c r="S211" s="2"/>
      <c r="T211" s="2"/>
      <c r="U211" s="2"/>
      <c r="V211" s="2"/>
      <c r="W211" s="2"/>
      <c r="X211" s="2"/>
      <c r="Y211" s="2"/>
    </row>
    <row r="212" spans="1:25">
      <c r="A212" s="2"/>
      <c r="B212" s="9"/>
      <c r="C212" s="18" t="s">
        <v>87</v>
      </c>
      <c r="D212" s="2" t="s">
        <v>88</v>
      </c>
      <c r="E212" s="2" t="s">
        <v>89</v>
      </c>
      <c r="F212" s="2"/>
      <c r="G212" s="2"/>
      <c r="H212" s="2" t="s">
        <v>90</v>
      </c>
      <c r="I212" s="2"/>
      <c r="J212" s="2" t="s">
        <v>91</v>
      </c>
      <c r="K212" s="2"/>
      <c r="L212" s="2"/>
      <c r="M212" s="2"/>
      <c r="N212" s="2"/>
      <c r="O212" s="2"/>
      <c r="P212" s="2"/>
      <c r="Q212" s="2"/>
      <c r="R212" s="2"/>
      <c r="S212" s="2"/>
      <c r="T212" s="2"/>
      <c r="U212" s="2"/>
      <c r="V212" s="2"/>
      <c r="W212" s="2"/>
      <c r="X212" s="2"/>
      <c r="Y212" s="2"/>
    </row>
    <row r="213" spans="1:25">
      <c r="A213" s="2"/>
      <c r="B213" s="9"/>
      <c r="C213" s="2" t="s">
        <v>92</v>
      </c>
      <c r="D213" s="2" t="s">
        <v>93</v>
      </c>
      <c r="E213" s="2" t="s">
        <v>94</v>
      </c>
      <c r="F213" s="2"/>
      <c r="G213" s="2"/>
      <c r="H213" s="2" t="s">
        <v>95</v>
      </c>
      <c r="I213" s="2"/>
      <c r="J213" s="2" t="s">
        <v>96</v>
      </c>
      <c r="K213" s="2"/>
      <c r="L213" s="2"/>
      <c r="M213" s="2"/>
      <c r="N213" s="2"/>
      <c r="O213" s="2"/>
      <c r="P213" s="2"/>
      <c r="Q213" s="2"/>
      <c r="R213" s="2"/>
      <c r="S213" s="2"/>
      <c r="T213" s="2"/>
      <c r="U213" s="2"/>
      <c r="V213" s="2"/>
      <c r="W213" s="2"/>
      <c r="X213" s="2"/>
      <c r="Y213" s="2"/>
    </row>
    <row r="214" spans="1:25">
      <c r="A214" s="2"/>
      <c r="B214" s="9"/>
      <c r="C214" s="2" t="s">
        <v>97</v>
      </c>
      <c r="D214" s="2" t="s">
        <v>98</v>
      </c>
      <c r="E214" s="2" t="s">
        <v>99</v>
      </c>
      <c r="F214" s="2"/>
      <c r="G214" s="2"/>
      <c r="H214" s="2" t="s">
        <v>100</v>
      </c>
      <c r="I214" s="2"/>
      <c r="J214" s="2"/>
      <c r="K214" s="2"/>
      <c r="L214" s="2"/>
      <c r="M214" s="2"/>
      <c r="N214" s="2"/>
      <c r="O214" s="2"/>
      <c r="P214" s="2"/>
      <c r="Q214" s="2"/>
      <c r="R214" s="2"/>
      <c r="S214" s="2"/>
      <c r="T214" s="2"/>
      <c r="U214" s="2"/>
      <c r="V214" s="2"/>
      <c r="W214" s="2"/>
      <c r="X214" s="2"/>
      <c r="Y214" s="2"/>
    </row>
    <row r="215" spans="1:25">
      <c r="A215" s="2"/>
      <c r="B215" s="9"/>
      <c r="C215" s="2" t="s">
        <v>101</v>
      </c>
      <c r="D215" s="2" t="s">
        <v>102</v>
      </c>
      <c r="E215" s="2" t="s">
        <v>103</v>
      </c>
      <c r="F215" s="2"/>
      <c r="G215" s="2"/>
      <c r="H215" s="2" t="s">
        <v>104</v>
      </c>
      <c r="I215" s="2"/>
      <c r="J215" s="2"/>
      <c r="K215" s="2"/>
      <c r="L215" s="2"/>
      <c r="M215" s="2"/>
      <c r="N215" s="2"/>
      <c r="O215" s="2"/>
      <c r="P215" s="2"/>
      <c r="Q215" s="2"/>
      <c r="R215" s="2"/>
      <c r="S215" s="2"/>
      <c r="T215" s="2"/>
      <c r="U215" s="2"/>
      <c r="V215" s="2"/>
      <c r="W215" s="2"/>
      <c r="X215" s="2"/>
      <c r="Y215" s="2"/>
    </row>
    <row r="216" spans="1:25">
      <c r="A216" s="2"/>
      <c r="B216" s="9"/>
      <c r="C216" s="2" t="s">
        <v>105</v>
      </c>
      <c r="D216" s="2"/>
      <c r="E216" s="2" t="s">
        <v>106</v>
      </c>
      <c r="F216" s="2"/>
      <c r="G216" s="2"/>
      <c r="H216" s="2" t="s">
        <v>106</v>
      </c>
      <c r="I216" s="2"/>
      <c r="J216" s="2"/>
      <c r="K216" s="2"/>
      <c r="L216" s="2"/>
      <c r="M216" s="2"/>
      <c r="N216" s="2"/>
      <c r="O216" s="2"/>
      <c r="P216" s="2"/>
      <c r="Q216" s="2"/>
      <c r="R216" s="2"/>
      <c r="S216" s="2"/>
      <c r="T216" s="2"/>
      <c r="U216" s="2"/>
      <c r="V216" s="2"/>
      <c r="W216" s="2"/>
      <c r="X216" s="2"/>
      <c r="Y216" s="2"/>
    </row>
    <row r="217" spans="1:25">
      <c r="A217" s="2"/>
      <c r="B217" s="9"/>
      <c r="C217" s="2" t="s">
        <v>107</v>
      </c>
      <c r="D217" s="2"/>
      <c r="E217" s="2"/>
      <c r="F217" s="2"/>
      <c r="G217" s="2"/>
      <c r="H217" s="2"/>
      <c r="I217" s="2"/>
      <c r="J217" s="2"/>
      <c r="K217" s="2"/>
      <c r="L217" s="2"/>
      <c r="M217" s="2"/>
      <c r="N217" s="2"/>
      <c r="O217" s="2"/>
      <c r="P217" s="2"/>
      <c r="Q217" s="2"/>
      <c r="R217" s="2"/>
      <c r="S217" s="2"/>
      <c r="T217" s="2"/>
      <c r="U217" s="2"/>
      <c r="V217" s="2"/>
      <c r="W217" s="2"/>
      <c r="X217" s="2"/>
      <c r="Y217" s="2"/>
    </row>
    <row r="218" spans="1:25">
      <c r="A218" s="2"/>
      <c r="B218" s="9"/>
      <c r="C218" s="2" t="s">
        <v>108</v>
      </c>
      <c r="D218" s="2"/>
      <c r="E218" s="2"/>
      <c r="F218" s="2"/>
      <c r="G218" s="2"/>
      <c r="H218" s="2"/>
      <c r="I218" s="2"/>
      <c r="J218" s="2"/>
      <c r="K218" s="2"/>
      <c r="L218" s="2"/>
      <c r="M218" s="2"/>
      <c r="N218" s="2"/>
      <c r="O218" s="2"/>
      <c r="P218" s="2"/>
      <c r="Q218" s="2"/>
      <c r="R218" s="2"/>
      <c r="S218" s="2"/>
      <c r="T218" s="2"/>
      <c r="U218" s="2"/>
      <c r="V218" s="2"/>
      <c r="W218" s="2"/>
      <c r="X218" s="2"/>
      <c r="Y218" s="2"/>
    </row>
    <row r="219" spans="1:25">
      <c r="A219" s="2"/>
      <c r="B219" s="9"/>
      <c r="C219" s="2" t="s">
        <v>109</v>
      </c>
      <c r="D219" s="2"/>
      <c r="E219" s="2"/>
      <c r="F219" s="2"/>
      <c r="G219" s="2"/>
      <c r="H219" s="2"/>
      <c r="I219" s="2"/>
      <c r="J219" s="2"/>
      <c r="K219" s="2"/>
      <c r="L219" s="2"/>
      <c r="M219" s="2"/>
      <c r="N219" s="2"/>
      <c r="O219" s="2"/>
      <c r="P219" s="2"/>
      <c r="Q219" s="2"/>
      <c r="R219" s="2"/>
      <c r="S219" s="2"/>
      <c r="T219" s="2"/>
      <c r="U219" s="2"/>
      <c r="V219" s="2"/>
      <c r="W219" s="2"/>
      <c r="X219" s="2"/>
      <c r="Y219" s="2"/>
    </row>
    <row r="220" spans="1:25">
      <c r="A220" s="2"/>
      <c r="B220" s="9"/>
      <c r="C220" s="18" t="s">
        <v>110</v>
      </c>
      <c r="D220" s="2"/>
      <c r="E220" s="2"/>
      <c r="F220" s="2"/>
      <c r="G220" s="2"/>
      <c r="H220" s="2"/>
      <c r="I220" s="2"/>
      <c r="J220" s="2"/>
      <c r="K220" s="2"/>
      <c r="L220" s="2"/>
      <c r="M220" s="2"/>
      <c r="N220" s="2"/>
      <c r="O220" s="2"/>
      <c r="P220" s="2"/>
      <c r="Q220" s="2"/>
      <c r="R220" s="2"/>
      <c r="S220" s="2"/>
      <c r="T220" s="2"/>
      <c r="U220" s="2"/>
      <c r="V220" s="2"/>
      <c r="W220" s="2"/>
      <c r="X220" s="2"/>
      <c r="Y220" s="2"/>
    </row>
  </sheetData>
  <sheetProtection formatCells="0" formatRows="0" insertRows="0" insertHyperlinks="0" deleteRows="0" selectLockedCells="1"/>
  <mergeCells count="157">
    <mergeCell ref="J134:P134"/>
    <mergeCell ref="N141:P141"/>
    <mergeCell ref="N142:P142"/>
    <mergeCell ref="J127:P127"/>
    <mergeCell ref="J128:P128"/>
    <mergeCell ref="B137:P137"/>
    <mergeCell ref="N139:P139"/>
    <mergeCell ref="J110:P110"/>
    <mergeCell ref="J112:P112"/>
    <mergeCell ref="J113:P113"/>
    <mergeCell ref="J114:P114"/>
    <mergeCell ref="J115:P115"/>
    <mergeCell ref="J129:P129"/>
    <mergeCell ref="J130:P130"/>
    <mergeCell ref="J131:P131"/>
    <mergeCell ref="J132:P132"/>
    <mergeCell ref="J133:P133"/>
    <mergeCell ref="J50:P50"/>
    <mergeCell ref="J51:P51"/>
    <mergeCell ref="J52:P52"/>
    <mergeCell ref="J53:P53"/>
    <mergeCell ref="J116:P116"/>
    <mergeCell ref="J117:P117"/>
    <mergeCell ref="J118:P118"/>
    <mergeCell ref="J119:P119"/>
    <mergeCell ref="J120:P120"/>
    <mergeCell ref="J96:P96"/>
    <mergeCell ref="J98:P98"/>
    <mergeCell ref="J99:P99"/>
    <mergeCell ref="J100:P100"/>
    <mergeCell ref="J101:P101"/>
    <mergeCell ref="J102:P102"/>
    <mergeCell ref="J103:P103"/>
    <mergeCell ref="J104:P104"/>
    <mergeCell ref="J54:P54"/>
    <mergeCell ref="J55:P55"/>
    <mergeCell ref="J56:P56"/>
    <mergeCell ref="J57:P57"/>
    <mergeCell ref="J105:P105"/>
    <mergeCell ref="J106:P106"/>
    <mergeCell ref="J109:P109"/>
    <mergeCell ref="B17:C17"/>
    <mergeCell ref="D17:E17"/>
    <mergeCell ref="B20:P20"/>
    <mergeCell ref="J22:P22"/>
    <mergeCell ref="J27:P27"/>
    <mergeCell ref="J28:P28"/>
    <mergeCell ref="J29:P29"/>
    <mergeCell ref="J30:P30"/>
    <mergeCell ref="J47:P47"/>
    <mergeCell ref="J37:P37"/>
    <mergeCell ref="J38:P38"/>
    <mergeCell ref="B1:Q1"/>
    <mergeCell ref="B2:Q2"/>
    <mergeCell ref="B4:C4"/>
    <mergeCell ref="B5:C5"/>
    <mergeCell ref="G5:J5"/>
    <mergeCell ref="B6:C6"/>
    <mergeCell ref="D6:O6"/>
    <mergeCell ref="B13:C13"/>
    <mergeCell ref="D13:E13"/>
    <mergeCell ref="G13:O16"/>
    <mergeCell ref="B14:C14"/>
    <mergeCell ref="D14:E14"/>
    <mergeCell ref="B15:C15"/>
    <mergeCell ref="D15:E15"/>
    <mergeCell ref="B16:C16"/>
    <mergeCell ref="D16:E16"/>
    <mergeCell ref="B8:P8"/>
    <mergeCell ref="B10:C10"/>
    <mergeCell ref="D10:E10"/>
    <mergeCell ref="B11:C11"/>
    <mergeCell ref="D11:E11"/>
    <mergeCell ref="B12:C12"/>
    <mergeCell ref="D12:E12"/>
    <mergeCell ref="N145:P145"/>
    <mergeCell ref="N146:P146"/>
    <mergeCell ref="B148:P148"/>
    <mergeCell ref="N150:P150"/>
    <mergeCell ref="N140:P140"/>
    <mergeCell ref="N143:P143"/>
    <mergeCell ref="J58:P58"/>
    <mergeCell ref="J59:P59"/>
    <mergeCell ref="J60:P60"/>
    <mergeCell ref="J61:P61"/>
    <mergeCell ref="J62:P62"/>
    <mergeCell ref="J64:P64"/>
    <mergeCell ref="J77:P77"/>
    <mergeCell ref="J84:P84"/>
    <mergeCell ref="J91:P91"/>
    <mergeCell ref="J125:P125"/>
    <mergeCell ref="J126:P126"/>
    <mergeCell ref="J121:P121"/>
    <mergeCell ref="J122:P122"/>
    <mergeCell ref="J123:P123"/>
    <mergeCell ref="J124:P124"/>
    <mergeCell ref="J107:P107"/>
    <mergeCell ref="J108:P108"/>
    <mergeCell ref="J111:P111"/>
    <mergeCell ref="J48:P48"/>
    <mergeCell ref="J49:P49"/>
    <mergeCell ref="N151:P151"/>
    <mergeCell ref="N152:P152"/>
    <mergeCell ref="N153:P153"/>
    <mergeCell ref="J23:P23"/>
    <mergeCell ref="J24:P24"/>
    <mergeCell ref="J25:P25"/>
    <mergeCell ref="J26:P26"/>
    <mergeCell ref="J31:P31"/>
    <mergeCell ref="J32:P32"/>
    <mergeCell ref="J33:P33"/>
    <mergeCell ref="J35:P35"/>
    <mergeCell ref="J68:P68"/>
    <mergeCell ref="J69:P69"/>
    <mergeCell ref="J70:P70"/>
    <mergeCell ref="J71:P71"/>
    <mergeCell ref="J72:P72"/>
    <mergeCell ref="J73:P73"/>
    <mergeCell ref="J66:P66"/>
    <mergeCell ref="J67:P67"/>
    <mergeCell ref="N144:P144"/>
    <mergeCell ref="J65:P65"/>
    <mergeCell ref="J97:P97"/>
    <mergeCell ref="S77:Y77"/>
    <mergeCell ref="J78:P78"/>
    <mergeCell ref="S78:Y78"/>
    <mergeCell ref="J79:P79"/>
    <mergeCell ref="S79:Y79"/>
    <mergeCell ref="S73:Y73"/>
    <mergeCell ref="J74:P74"/>
    <mergeCell ref="S74:Y74"/>
    <mergeCell ref="J75:P75"/>
    <mergeCell ref="S75:Y75"/>
    <mergeCell ref="J76:P76"/>
    <mergeCell ref="S76:Y76"/>
    <mergeCell ref="S91:Y91"/>
    <mergeCell ref="J93:P93"/>
    <mergeCell ref="J94:P94"/>
    <mergeCell ref="J95:P95"/>
    <mergeCell ref="J87:P87"/>
    <mergeCell ref="S87:Y87"/>
    <mergeCell ref="J88:P88"/>
    <mergeCell ref="S88:Y88"/>
    <mergeCell ref="J89:P89"/>
    <mergeCell ref="S89:Y89"/>
    <mergeCell ref="S84:Y84"/>
    <mergeCell ref="J85:P85"/>
    <mergeCell ref="S85:Y85"/>
    <mergeCell ref="J86:P86"/>
    <mergeCell ref="S86:Y86"/>
    <mergeCell ref="J80:P80"/>
    <mergeCell ref="S80:Y80"/>
    <mergeCell ref="J81:P81"/>
    <mergeCell ref="J82:P82"/>
    <mergeCell ref="S82:Y82"/>
    <mergeCell ref="J83:P83"/>
    <mergeCell ref="S83:Y83"/>
  </mergeCells>
  <conditionalFormatting sqref="H140:H145 H151:H153">
    <cfRule type="cellIs" dxfId="6" priority="2" stopIfTrue="1" operator="equal">
      <formula>0</formula>
    </cfRule>
  </conditionalFormatting>
  <conditionalFormatting sqref="G140:G145 G151:G153">
    <cfRule type="cellIs" dxfId="5" priority="1" stopIfTrue="1" operator="equal">
      <formula>1</formula>
    </cfRule>
  </conditionalFormatting>
  <dataValidations disablePrompts="1" count="7">
    <dataValidation type="list" allowBlank="1" showInputMessage="1" showErrorMessage="1" sqref="L140:L145 L151:L152">
      <formula1>$H$211:$H$216</formula1>
    </dataValidation>
    <dataValidation type="list" allowBlank="1" showInputMessage="1" showErrorMessage="1" sqref="K140:K145 K151:K152">
      <formula1>$J$211:$J$213</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$C$211:$C$220</formula1>
    </dataValidation>
    <dataValidation type="list" allowBlank="1" showInputMessage="1" showErrorMessage="1" sqref="D14:E14">
      <formula1>$D$211:$D$215</formula1>
    </dataValidation>
    <dataValidation type="list" allowBlank="1" showInputMessage="1" showErrorMessage="1" sqref="D16:E16">
      <formula1>$E$211:$E$216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847725</xdr:colOff>
                <xdr:row>16</xdr:row>
                <xdr:rowOff>276225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1857375</xdr:colOff>
                <xdr:row>16</xdr:row>
                <xdr:rowOff>266700</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3019425</xdr:colOff>
                <xdr:row>16</xdr:row>
                <xdr:rowOff>276225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476250</xdr:colOff>
                <xdr:row>16</xdr:row>
                <xdr:rowOff>266700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topLeftCell="C1" workbookViewId="0">
      <selection activeCell="D7" sqref="D7"/>
    </sheetView>
  </sheetViews>
  <sheetFormatPr defaultColWidth="9.140625" defaultRowHeight="1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c r="A1" s="405" t="s">
        <v>13</v>
      </c>
      <c r="B1" s="405"/>
      <c r="C1" s="405"/>
      <c r="D1" s="405"/>
      <c r="E1" s="405"/>
      <c r="F1" s="405"/>
      <c r="G1" s="405"/>
      <c r="H1" s="405"/>
      <c r="I1" s="405"/>
      <c r="J1" s="405"/>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c r="A2" s="79"/>
      <c r="B2" s="79"/>
      <c r="C2" s="79"/>
      <c r="D2" s="79"/>
      <c r="E2" s="79"/>
      <c r="F2" s="79"/>
      <c r="G2" s="79"/>
      <c r="H2" s="79"/>
      <c r="I2" s="79"/>
      <c r="J2" s="79"/>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c r="A3" s="79"/>
      <c r="B3" s="406" t="s">
        <v>58</v>
      </c>
      <c r="C3" s="80" t="s">
        <v>111</v>
      </c>
      <c r="D3" s="408" t="s">
        <v>112</v>
      </c>
      <c r="E3" s="409"/>
      <c r="F3" s="410"/>
      <c r="G3" s="411" t="s">
        <v>113</v>
      </c>
      <c r="H3" s="79"/>
      <c r="I3" s="79"/>
      <c r="J3" s="79"/>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c r="B4" s="407"/>
      <c r="C4" s="81">
        <v>3</v>
      </c>
      <c r="D4" s="82">
        <v>1</v>
      </c>
      <c r="E4" s="83">
        <v>2</v>
      </c>
      <c r="F4" s="84">
        <v>3</v>
      </c>
      <c r="G4" s="412"/>
    </row>
    <row r="5" spans="1:38" ht="15" customHeight="1">
      <c r="B5" s="407"/>
      <c r="C5" s="85" t="str">
        <f>D5</f>
        <v>Gas Lift Petroleum Extraction</v>
      </c>
      <c r="D5" s="413" t="str">
        <f>'Data Summary'!D4</f>
        <v>Gas Lift Petroleum Extraction</v>
      </c>
      <c r="E5" s="414"/>
      <c r="F5" s="415"/>
      <c r="G5" s="412"/>
    </row>
    <row r="6" spans="1:38">
      <c r="B6" s="407"/>
      <c r="C6" s="86" t="str">
        <f>HLOOKUP($C$4,$D$4:$F$13,3,FALSE)</f>
        <v>Scenario 3 Name</v>
      </c>
      <c r="D6" s="87" t="s">
        <v>114</v>
      </c>
      <c r="E6" s="88" t="s">
        <v>115</v>
      </c>
      <c r="F6" s="89" t="s">
        <v>116</v>
      </c>
      <c r="G6" s="412"/>
    </row>
    <row r="7" spans="1:38" ht="15" customHeight="1">
      <c r="B7" s="90" t="s">
        <v>117</v>
      </c>
      <c r="C7" s="91">
        <f>HLOOKUP($C$4,$D$4:$F$13,4,FALSE)</f>
        <v>0</v>
      </c>
      <c r="D7" s="92"/>
      <c r="E7" s="93"/>
      <c r="F7" s="94"/>
      <c r="G7" s="95" t="s">
        <v>118</v>
      </c>
    </row>
    <row r="8" spans="1:38" ht="15" customHeight="1">
      <c r="B8" s="96" t="s">
        <v>119</v>
      </c>
      <c r="C8" s="97">
        <f>HLOOKUP($C$4,$D$4:$F$13,5,FALSE)</f>
        <v>0</v>
      </c>
      <c r="D8" s="98"/>
      <c r="E8" s="99"/>
      <c r="F8" s="100"/>
      <c r="G8" s="101"/>
    </row>
    <row r="9" spans="1:38" ht="15" customHeight="1">
      <c r="B9" s="102"/>
      <c r="C9" s="103">
        <f>HLOOKUP($C$4,$D$4:$F$13,6,FALSE)</f>
        <v>0</v>
      </c>
      <c r="D9" s="104"/>
      <c r="E9" s="105"/>
      <c r="F9" s="106"/>
      <c r="G9" s="101"/>
    </row>
    <row r="10" spans="1:38" ht="15" customHeight="1">
      <c r="B10" s="102"/>
      <c r="C10" s="103">
        <f>HLOOKUP($C$4,$D$4:$F$13,7,FALSE)</f>
        <v>0</v>
      </c>
      <c r="D10" s="104"/>
      <c r="E10" s="105"/>
      <c r="F10" s="106"/>
      <c r="G10" s="101"/>
    </row>
    <row r="11" spans="1:38" ht="15" customHeight="1">
      <c r="B11" s="102"/>
      <c r="C11" s="107">
        <f>HLOOKUP($C$4,$D$4:$F$13,8,FALSE)</f>
        <v>0</v>
      </c>
      <c r="D11" s="108"/>
      <c r="E11" s="109"/>
      <c r="F11" s="110"/>
      <c r="G11" s="101"/>
    </row>
    <row r="12" spans="1:38" ht="15" customHeight="1">
      <c r="B12" s="102"/>
      <c r="C12" s="107">
        <f>HLOOKUP($C$4,$D$4:$F$13,9,FALSE)</f>
        <v>0</v>
      </c>
      <c r="D12" s="108"/>
      <c r="E12" s="109"/>
      <c r="F12" s="110"/>
      <c r="G12" s="101"/>
    </row>
    <row r="13" spans="1:38" ht="15" customHeight="1" thickBot="1">
      <c r="B13" s="111"/>
      <c r="C13" s="112">
        <f>HLOOKUP($C$4,$D$4:$F$13,10,FALSE)</f>
        <v>0</v>
      </c>
      <c r="D13" s="113"/>
      <c r="E13" s="114"/>
      <c r="F13" s="115"/>
      <c r="G13" s="116"/>
    </row>
    <row r="14" spans="1:38" ht="15" customHeight="1"/>
    <row r="15" spans="1:38" ht="15" customHeight="1"/>
    <row r="16" spans="1:38" ht="15" customHeight="1"/>
    <row r="17" spans="2:7" ht="15" customHeight="1"/>
    <row r="18" spans="2:7" ht="15" customHeight="1"/>
    <row r="19" spans="2:7" ht="18.75">
      <c r="B19" s="117" t="s">
        <v>120</v>
      </c>
    </row>
    <row r="20" spans="2:7">
      <c r="B20" s="118" t="s">
        <v>112</v>
      </c>
      <c r="C20" s="416" t="s">
        <v>9</v>
      </c>
      <c r="D20" s="416"/>
      <c r="E20" s="416"/>
      <c r="F20" s="416"/>
      <c r="G20" s="416"/>
    </row>
    <row r="21" spans="2:7" ht="30" customHeight="1">
      <c r="B21" s="119">
        <v>1</v>
      </c>
      <c r="C21" s="402" t="s">
        <v>121</v>
      </c>
      <c r="D21" s="402"/>
      <c r="E21" s="402"/>
      <c r="F21" s="402"/>
      <c r="G21" s="402"/>
    </row>
    <row r="22" spans="2:7" ht="30" customHeight="1">
      <c r="B22" s="119">
        <v>2</v>
      </c>
      <c r="C22" s="403"/>
      <c r="D22" s="403"/>
      <c r="E22" s="403"/>
      <c r="F22" s="403"/>
      <c r="G22" s="403"/>
    </row>
    <row r="23" spans="2:7" ht="30" customHeight="1">
      <c r="B23" s="120">
        <v>3</v>
      </c>
      <c r="C23" s="404"/>
      <c r="D23" s="404"/>
      <c r="E23" s="404"/>
      <c r="F23" s="404"/>
      <c r="G23" s="404"/>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topLeftCell="A4" zoomScaleNormal="100" workbookViewId="0">
      <pane xSplit="1" topLeftCell="B1" activePane="topRight" state="frozen"/>
      <selection activeCell="D16" sqref="D16:M16"/>
      <selection pane="topRight" activeCell="E26" sqref="E26"/>
    </sheetView>
  </sheetViews>
  <sheetFormatPr defaultColWidth="36.85546875" defaultRowHeight="12.75" customHeight="1"/>
  <cols>
    <col min="1" max="1" width="18.5703125" style="180" customWidth="1"/>
    <col min="2" max="10" width="31.42578125" style="179" customWidth="1"/>
    <col min="11" max="27" width="36.85546875" style="179" customWidth="1"/>
    <col min="28" max="28" width="37" style="179" customWidth="1"/>
    <col min="29" max="35" width="36.85546875" style="179" customWidth="1"/>
    <col min="36" max="44" width="36.85546875" style="180" customWidth="1"/>
    <col min="45" max="45" width="37.140625" style="180" customWidth="1"/>
    <col min="46" max="47" width="36.85546875" style="180" customWidth="1"/>
    <col min="48" max="48" width="36.5703125" style="180" customWidth="1"/>
    <col min="49" max="50" width="36.85546875" style="180" customWidth="1"/>
    <col min="51" max="51" width="36.5703125" style="180" customWidth="1"/>
    <col min="52" max="52" width="37" style="180" customWidth="1"/>
    <col min="53" max="71" width="36.85546875" style="180" customWidth="1"/>
    <col min="72" max="72" width="37" style="180" customWidth="1"/>
    <col min="73" max="90" width="36.85546875" style="180" customWidth="1"/>
    <col min="91" max="91" width="36.5703125" style="180" customWidth="1"/>
    <col min="92" max="104" width="36.85546875" style="180" customWidth="1"/>
    <col min="105" max="105" width="36.5703125" style="180" customWidth="1"/>
    <col min="106" max="108" width="36.85546875" style="180" customWidth="1"/>
    <col min="109" max="109" width="36.5703125" style="180" customWidth="1"/>
    <col min="110" max="117" width="36.85546875" style="180" customWidth="1"/>
    <col min="118" max="118" width="36.5703125" style="180" customWidth="1"/>
    <col min="119" max="256" width="36.85546875" style="180"/>
    <col min="257" max="257" width="18.5703125" style="180" customWidth="1"/>
    <col min="258" max="266" width="31.42578125" style="180" customWidth="1"/>
    <col min="267" max="283" width="36.85546875" style="180" customWidth="1"/>
    <col min="284" max="284" width="37" style="180" customWidth="1"/>
    <col min="285" max="300" width="36.85546875" style="180" customWidth="1"/>
    <col min="301" max="301" width="37.140625" style="180" customWidth="1"/>
    <col min="302" max="303" width="36.85546875" style="180" customWidth="1"/>
    <col min="304" max="304" width="36.5703125" style="180" customWidth="1"/>
    <col min="305" max="306" width="36.85546875" style="180" customWidth="1"/>
    <col min="307" max="307" width="36.5703125" style="180" customWidth="1"/>
    <col min="308" max="308" width="37" style="180" customWidth="1"/>
    <col min="309" max="327" width="36.85546875" style="180" customWidth="1"/>
    <col min="328" max="328" width="37" style="180" customWidth="1"/>
    <col min="329" max="346" width="36.85546875" style="180" customWidth="1"/>
    <col min="347" max="347" width="36.5703125" style="180" customWidth="1"/>
    <col min="348" max="360" width="36.85546875" style="180" customWidth="1"/>
    <col min="361" max="361" width="36.5703125" style="180" customWidth="1"/>
    <col min="362" max="364" width="36.85546875" style="180" customWidth="1"/>
    <col min="365" max="365" width="36.5703125" style="180" customWidth="1"/>
    <col min="366" max="373" width="36.85546875" style="180" customWidth="1"/>
    <col min="374" max="374" width="36.5703125" style="180" customWidth="1"/>
    <col min="375" max="512" width="36.85546875" style="180"/>
    <col min="513" max="513" width="18.5703125" style="180" customWidth="1"/>
    <col min="514" max="522" width="31.42578125" style="180" customWidth="1"/>
    <col min="523" max="539" width="36.85546875" style="180" customWidth="1"/>
    <col min="540" max="540" width="37" style="180" customWidth="1"/>
    <col min="541" max="556" width="36.85546875" style="180" customWidth="1"/>
    <col min="557" max="557" width="37.140625" style="180" customWidth="1"/>
    <col min="558" max="559" width="36.85546875" style="180" customWidth="1"/>
    <col min="560" max="560" width="36.5703125" style="180" customWidth="1"/>
    <col min="561" max="562" width="36.85546875" style="180" customWidth="1"/>
    <col min="563" max="563" width="36.5703125" style="180" customWidth="1"/>
    <col min="564" max="564" width="37" style="180" customWidth="1"/>
    <col min="565" max="583" width="36.85546875" style="180" customWidth="1"/>
    <col min="584" max="584" width="37" style="180" customWidth="1"/>
    <col min="585" max="602" width="36.85546875" style="180" customWidth="1"/>
    <col min="603" max="603" width="36.5703125" style="180" customWidth="1"/>
    <col min="604" max="616" width="36.85546875" style="180" customWidth="1"/>
    <col min="617" max="617" width="36.5703125" style="180" customWidth="1"/>
    <col min="618" max="620" width="36.85546875" style="180" customWidth="1"/>
    <col min="621" max="621" width="36.5703125" style="180" customWidth="1"/>
    <col min="622" max="629" width="36.85546875" style="180" customWidth="1"/>
    <col min="630" max="630" width="36.5703125" style="180" customWidth="1"/>
    <col min="631" max="768" width="36.85546875" style="180"/>
    <col min="769" max="769" width="18.5703125" style="180" customWidth="1"/>
    <col min="770" max="778" width="31.42578125" style="180" customWidth="1"/>
    <col min="779" max="795" width="36.85546875" style="180" customWidth="1"/>
    <col min="796" max="796" width="37" style="180" customWidth="1"/>
    <col min="797" max="812" width="36.85546875" style="180" customWidth="1"/>
    <col min="813" max="813" width="37.140625" style="180" customWidth="1"/>
    <col min="814" max="815" width="36.85546875" style="180" customWidth="1"/>
    <col min="816" max="816" width="36.5703125" style="180" customWidth="1"/>
    <col min="817" max="818" width="36.85546875" style="180" customWidth="1"/>
    <col min="819" max="819" width="36.5703125" style="180" customWidth="1"/>
    <col min="820" max="820" width="37" style="180" customWidth="1"/>
    <col min="821" max="839" width="36.85546875" style="180" customWidth="1"/>
    <col min="840" max="840" width="37" style="180" customWidth="1"/>
    <col min="841" max="858" width="36.85546875" style="180" customWidth="1"/>
    <col min="859" max="859" width="36.5703125" style="180" customWidth="1"/>
    <col min="860" max="872" width="36.85546875" style="180" customWidth="1"/>
    <col min="873" max="873" width="36.5703125" style="180" customWidth="1"/>
    <col min="874" max="876" width="36.85546875" style="180" customWidth="1"/>
    <col min="877" max="877" width="36.5703125" style="180" customWidth="1"/>
    <col min="878" max="885" width="36.85546875" style="180" customWidth="1"/>
    <col min="886" max="886" width="36.5703125" style="180" customWidth="1"/>
    <col min="887" max="1024" width="36.85546875" style="180"/>
    <col min="1025" max="1025" width="18.5703125" style="180" customWidth="1"/>
    <col min="1026" max="1034" width="31.42578125" style="180" customWidth="1"/>
    <col min="1035" max="1051" width="36.85546875" style="180" customWidth="1"/>
    <col min="1052" max="1052" width="37" style="180" customWidth="1"/>
    <col min="1053" max="1068" width="36.85546875" style="180" customWidth="1"/>
    <col min="1069" max="1069" width="37.140625" style="180" customWidth="1"/>
    <col min="1070" max="1071" width="36.85546875" style="180" customWidth="1"/>
    <col min="1072" max="1072" width="36.5703125" style="180" customWidth="1"/>
    <col min="1073" max="1074" width="36.85546875" style="180" customWidth="1"/>
    <col min="1075" max="1075" width="36.5703125" style="180" customWidth="1"/>
    <col min="1076" max="1076" width="37" style="180" customWidth="1"/>
    <col min="1077" max="1095" width="36.85546875" style="180" customWidth="1"/>
    <col min="1096" max="1096" width="37" style="180" customWidth="1"/>
    <col min="1097" max="1114" width="36.85546875" style="180" customWidth="1"/>
    <col min="1115" max="1115" width="36.5703125" style="180" customWidth="1"/>
    <col min="1116" max="1128" width="36.85546875" style="180" customWidth="1"/>
    <col min="1129" max="1129" width="36.5703125" style="180" customWidth="1"/>
    <col min="1130" max="1132" width="36.85546875" style="180" customWidth="1"/>
    <col min="1133" max="1133" width="36.5703125" style="180" customWidth="1"/>
    <col min="1134" max="1141" width="36.85546875" style="180" customWidth="1"/>
    <col min="1142" max="1142" width="36.5703125" style="180" customWidth="1"/>
    <col min="1143" max="1280" width="36.85546875" style="180"/>
    <col min="1281" max="1281" width="18.5703125" style="180" customWidth="1"/>
    <col min="1282" max="1290" width="31.42578125" style="180" customWidth="1"/>
    <col min="1291" max="1307" width="36.85546875" style="180" customWidth="1"/>
    <col min="1308" max="1308" width="37" style="180" customWidth="1"/>
    <col min="1309" max="1324" width="36.85546875" style="180" customWidth="1"/>
    <col min="1325" max="1325" width="37.140625" style="180" customWidth="1"/>
    <col min="1326" max="1327" width="36.85546875" style="180" customWidth="1"/>
    <col min="1328" max="1328" width="36.5703125" style="180" customWidth="1"/>
    <col min="1329" max="1330" width="36.85546875" style="180" customWidth="1"/>
    <col min="1331" max="1331" width="36.5703125" style="180" customWidth="1"/>
    <col min="1332" max="1332" width="37" style="180" customWidth="1"/>
    <col min="1333" max="1351" width="36.85546875" style="180" customWidth="1"/>
    <col min="1352" max="1352" width="37" style="180" customWidth="1"/>
    <col min="1353" max="1370" width="36.85546875" style="180" customWidth="1"/>
    <col min="1371" max="1371" width="36.5703125" style="180" customWidth="1"/>
    <col min="1372" max="1384" width="36.85546875" style="180" customWidth="1"/>
    <col min="1385" max="1385" width="36.5703125" style="180" customWidth="1"/>
    <col min="1386" max="1388" width="36.85546875" style="180" customWidth="1"/>
    <col min="1389" max="1389" width="36.5703125" style="180" customWidth="1"/>
    <col min="1390" max="1397" width="36.85546875" style="180" customWidth="1"/>
    <col min="1398" max="1398" width="36.5703125" style="180" customWidth="1"/>
    <col min="1399" max="1536" width="36.85546875" style="180"/>
    <col min="1537" max="1537" width="18.5703125" style="180" customWidth="1"/>
    <col min="1538" max="1546" width="31.42578125" style="180" customWidth="1"/>
    <col min="1547" max="1563" width="36.85546875" style="180" customWidth="1"/>
    <col min="1564" max="1564" width="37" style="180" customWidth="1"/>
    <col min="1565" max="1580" width="36.85546875" style="180" customWidth="1"/>
    <col min="1581" max="1581" width="37.140625" style="180" customWidth="1"/>
    <col min="1582" max="1583" width="36.85546875" style="180" customWidth="1"/>
    <col min="1584" max="1584" width="36.5703125" style="180" customWidth="1"/>
    <col min="1585" max="1586" width="36.85546875" style="180" customWidth="1"/>
    <col min="1587" max="1587" width="36.5703125" style="180" customWidth="1"/>
    <col min="1588" max="1588" width="37" style="180" customWidth="1"/>
    <col min="1589" max="1607" width="36.85546875" style="180" customWidth="1"/>
    <col min="1608" max="1608" width="37" style="180" customWidth="1"/>
    <col min="1609" max="1626" width="36.85546875" style="180" customWidth="1"/>
    <col min="1627" max="1627" width="36.5703125" style="180" customWidth="1"/>
    <col min="1628" max="1640" width="36.85546875" style="180" customWidth="1"/>
    <col min="1641" max="1641" width="36.5703125" style="180" customWidth="1"/>
    <col min="1642" max="1644" width="36.85546875" style="180" customWidth="1"/>
    <col min="1645" max="1645" width="36.5703125" style="180" customWidth="1"/>
    <col min="1646" max="1653" width="36.85546875" style="180" customWidth="1"/>
    <col min="1654" max="1654" width="36.5703125" style="180" customWidth="1"/>
    <col min="1655" max="1792" width="36.85546875" style="180"/>
    <col min="1793" max="1793" width="18.5703125" style="180" customWidth="1"/>
    <col min="1794" max="1802" width="31.42578125" style="180" customWidth="1"/>
    <col min="1803" max="1819" width="36.85546875" style="180" customWidth="1"/>
    <col min="1820" max="1820" width="37" style="180" customWidth="1"/>
    <col min="1821" max="1836" width="36.85546875" style="180" customWidth="1"/>
    <col min="1837" max="1837" width="37.140625" style="180" customWidth="1"/>
    <col min="1838" max="1839" width="36.85546875" style="180" customWidth="1"/>
    <col min="1840" max="1840" width="36.5703125" style="180" customWidth="1"/>
    <col min="1841" max="1842" width="36.85546875" style="180" customWidth="1"/>
    <col min="1843" max="1843" width="36.5703125" style="180" customWidth="1"/>
    <col min="1844" max="1844" width="37" style="180" customWidth="1"/>
    <col min="1845" max="1863" width="36.85546875" style="180" customWidth="1"/>
    <col min="1864" max="1864" width="37" style="180" customWidth="1"/>
    <col min="1865" max="1882" width="36.85546875" style="180" customWidth="1"/>
    <col min="1883" max="1883" width="36.5703125" style="180" customWidth="1"/>
    <col min="1884" max="1896" width="36.85546875" style="180" customWidth="1"/>
    <col min="1897" max="1897" width="36.5703125" style="180" customWidth="1"/>
    <col min="1898" max="1900" width="36.85546875" style="180" customWidth="1"/>
    <col min="1901" max="1901" width="36.5703125" style="180" customWidth="1"/>
    <col min="1902" max="1909" width="36.85546875" style="180" customWidth="1"/>
    <col min="1910" max="1910" width="36.5703125" style="180" customWidth="1"/>
    <col min="1911" max="2048" width="36.85546875" style="180"/>
    <col min="2049" max="2049" width="18.5703125" style="180" customWidth="1"/>
    <col min="2050" max="2058" width="31.42578125" style="180" customWidth="1"/>
    <col min="2059" max="2075" width="36.85546875" style="180" customWidth="1"/>
    <col min="2076" max="2076" width="37" style="180" customWidth="1"/>
    <col min="2077" max="2092" width="36.85546875" style="180" customWidth="1"/>
    <col min="2093" max="2093" width="37.140625" style="180" customWidth="1"/>
    <col min="2094" max="2095" width="36.85546875" style="180" customWidth="1"/>
    <col min="2096" max="2096" width="36.5703125" style="180" customWidth="1"/>
    <col min="2097" max="2098" width="36.85546875" style="180" customWidth="1"/>
    <col min="2099" max="2099" width="36.5703125" style="180" customWidth="1"/>
    <col min="2100" max="2100" width="37" style="180" customWidth="1"/>
    <col min="2101" max="2119" width="36.85546875" style="180" customWidth="1"/>
    <col min="2120" max="2120" width="37" style="180" customWidth="1"/>
    <col min="2121" max="2138" width="36.85546875" style="180" customWidth="1"/>
    <col min="2139" max="2139" width="36.5703125" style="180" customWidth="1"/>
    <col min="2140" max="2152" width="36.85546875" style="180" customWidth="1"/>
    <col min="2153" max="2153" width="36.5703125" style="180" customWidth="1"/>
    <col min="2154" max="2156" width="36.85546875" style="180" customWidth="1"/>
    <col min="2157" max="2157" width="36.5703125" style="180" customWidth="1"/>
    <col min="2158" max="2165" width="36.85546875" style="180" customWidth="1"/>
    <col min="2166" max="2166" width="36.5703125" style="180" customWidth="1"/>
    <col min="2167" max="2304" width="36.85546875" style="180"/>
    <col min="2305" max="2305" width="18.5703125" style="180" customWidth="1"/>
    <col min="2306" max="2314" width="31.42578125" style="180" customWidth="1"/>
    <col min="2315" max="2331" width="36.85546875" style="180" customWidth="1"/>
    <col min="2332" max="2332" width="37" style="180" customWidth="1"/>
    <col min="2333" max="2348" width="36.85546875" style="180" customWidth="1"/>
    <col min="2349" max="2349" width="37.140625" style="180" customWidth="1"/>
    <col min="2350" max="2351" width="36.85546875" style="180" customWidth="1"/>
    <col min="2352" max="2352" width="36.5703125" style="180" customWidth="1"/>
    <col min="2353" max="2354" width="36.85546875" style="180" customWidth="1"/>
    <col min="2355" max="2355" width="36.5703125" style="180" customWidth="1"/>
    <col min="2356" max="2356" width="37" style="180" customWidth="1"/>
    <col min="2357" max="2375" width="36.85546875" style="180" customWidth="1"/>
    <col min="2376" max="2376" width="37" style="180" customWidth="1"/>
    <col min="2377" max="2394" width="36.85546875" style="180" customWidth="1"/>
    <col min="2395" max="2395" width="36.5703125" style="180" customWidth="1"/>
    <col min="2396" max="2408" width="36.85546875" style="180" customWidth="1"/>
    <col min="2409" max="2409" width="36.5703125" style="180" customWidth="1"/>
    <col min="2410" max="2412" width="36.85546875" style="180" customWidth="1"/>
    <col min="2413" max="2413" width="36.5703125" style="180" customWidth="1"/>
    <col min="2414" max="2421" width="36.85546875" style="180" customWidth="1"/>
    <col min="2422" max="2422" width="36.5703125" style="180" customWidth="1"/>
    <col min="2423" max="2560" width="36.85546875" style="180"/>
    <col min="2561" max="2561" width="18.5703125" style="180" customWidth="1"/>
    <col min="2562" max="2570" width="31.42578125" style="180" customWidth="1"/>
    <col min="2571" max="2587" width="36.85546875" style="180" customWidth="1"/>
    <col min="2588" max="2588" width="37" style="180" customWidth="1"/>
    <col min="2589" max="2604" width="36.85546875" style="180" customWidth="1"/>
    <col min="2605" max="2605" width="37.140625" style="180" customWidth="1"/>
    <col min="2606" max="2607" width="36.85546875" style="180" customWidth="1"/>
    <col min="2608" max="2608" width="36.5703125" style="180" customWidth="1"/>
    <col min="2609" max="2610" width="36.85546875" style="180" customWidth="1"/>
    <col min="2611" max="2611" width="36.5703125" style="180" customWidth="1"/>
    <col min="2612" max="2612" width="37" style="180" customWidth="1"/>
    <col min="2613" max="2631" width="36.85546875" style="180" customWidth="1"/>
    <col min="2632" max="2632" width="37" style="180" customWidth="1"/>
    <col min="2633" max="2650" width="36.85546875" style="180" customWidth="1"/>
    <col min="2651" max="2651" width="36.5703125" style="180" customWidth="1"/>
    <col min="2652" max="2664" width="36.85546875" style="180" customWidth="1"/>
    <col min="2665" max="2665" width="36.5703125" style="180" customWidth="1"/>
    <col min="2666" max="2668" width="36.85546875" style="180" customWidth="1"/>
    <col min="2669" max="2669" width="36.5703125" style="180" customWidth="1"/>
    <col min="2670" max="2677" width="36.85546875" style="180" customWidth="1"/>
    <col min="2678" max="2678" width="36.5703125" style="180" customWidth="1"/>
    <col min="2679" max="2816" width="36.85546875" style="180"/>
    <col min="2817" max="2817" width="18.5703125" style="180" customWidth="1"/>
    <col min="2818" max="2826" width="31.42578125" style="180" customWidth="1"/>
    <col min="2827" max="2843" width="36.85546875" style="180" customWidth="1"/>
    <col min="2844" max="2844" width="37" style="180" customWidth="1"/>
    <col min="2845" max="2860" width="36.85546875" style="180" customWidth="1"/>
    <col min="2861" max="2861" width="37.140625" style="180" customWidth="1"/>
    <col min="2862" max="2863" width="36.85546875" style="180" customWidth="1"/>
    <col min="2864" max="2864" width="36.5703125" style="180" customWidth="1"/>
    <col min="2865" max="2866" width="36.85546875" style="180" customWidth="1"/>
    <col min="2867" max="2867" width="36.5703125" style="180" customWidth="1"/>
    <col min="2868" max="2868" width="37" style="180" customWidth="1"/>
    <col min="2869" max="2887" width="36.85546875" style="180" customWidth="1"/>
    <col min="2888" max="2888" width="37" style="180" customWidth="1"/>
    <col min="2889" max="2906" width="36.85546875" style="180" customWidth="1"/>
    <col min="2907" max="2907" width="36.5703125" style="180" customWidth="1"/>
    <col min="2908" max="2920" width="36.85546875" style="180" customWidth="1"/>
    <col min="2921" max="2921" width="36.5703125" style="180" customWidth="1"/>
    <col min="2922" max="2924" width="36.85546875" style="180" customWidth="1"/>
    <col min="2925" max="2925" width="36.5703125" style="180" customWidth="1"/>
    <col min="2926" max="2933" width="36.85546875" style="180" customWidth="1"/>
    <col min="2934" max="2934" width="36.5703125" style="180" customWidth="1"/>
    <col min="2935" max="3072" width="36.85546875" style="180"/>
    <col min="3073" max="3073" width="18.5703125" style="180" customWidth="1"/>
    <col min="3074" max="3082" width="31.42578125" style="180" customWidth="1"/>
    <col min="3083" max="3099" width="36.85546875" style="180" customWidth="1"/>
    <col min="3100" max="3100" width="37" style="180" customWidth="1"/>
    <col min="3101" max="3116" width="36.85546875" style="180" customWidth="1"/>
    <col min="3117" max="3117" width="37.140625" style="180" customWidth="1"/>
    <col min="3118" max="3119" width="36.85546875" style="180" customWidth="1"/>
    <col min="3120" max="3120" width="36.5703125" style="180" customWidth="1"/>
    <col min="3121" max="3122" width="36.85546875" style="180" customWidth="1"/>
    <col min="3123" max="3123" width="36.5703125" style="180" customWidth="1"/>
    <col min="3124" max="3124" width="37" style="180" customWidth="1"/>
    <col min="3125" max="3143" width="36.85546875" style="180" customWidth="1"/>
    <col min="3144" max="3144" width="37" style="180" customWidth="1"/>
    <col min="3145" max="3162" width="36.85546875" style="180" customWidth="1"/>
    <col min="3163" max="3163" width="36.5703125" style="180" customWidth="1"/>
    <col min="3164" max="3176" width="36.85546875" style="180" customWidth="1"/>
    <col min="3177" max="3177" width="36.5703125" style="180" customWidth="1"/>
    <col min="3178" max="3180" width="36.85546875" style="180" customWidth="1"/>
    <col min="3181" max="3181" width="36.5703125" style="180" customWidth="1"/>
    <col min="3182" max="3189" width="36.85546875" style="180" customWidth="1"/>
    <col min="3190" max="3190" width="36.5703125" style="180" customWidth="1"/>
    <col min="3191" max="3328" width="36.85546875" style="180"/>
    <col min="3329" max="3329" width="18.5703125" style="180" customWidth="1"/>
    <col min="3330" max="3338" width="31.42578125" style="180" customWidth="1"/>
    <col min="3339" max="3355" width="36.85546875" style="180" customWidth="1"/>
    <col min="3356" max="3356" width="37" style="180" customWidth="1"/>
    <col min="3357" max="3372" width="36.85546875" style="180" customWidth="1"/>
    <col min="3373" max="3373" width="37.140625" style="180" customWidth="1"/>
    <col min="3374" max="3375" width="36.85546875" style="180" customWidth="1"/>
    <col min="3376" max="3376" width="36.5703125" style="180" customWidth="1"/>
    <col min="3377" max="3378" width="36.85546875" style="180" customWidth="1"/>
    <col min="3379" max="3379" width="36.5703125" style="180" customWidth="1"/>
    <col min="3380" max="3380" width="37" style="180" customWidth="1"/>
    <col min="3381" max="3399" width="36.85546875" style="180" customWidth="1"/>
    <col min="3400" max="3400" width="37" style="180" customWidth="1"/>
    <col min="3401" max="3418" width="36.85546875" style="180" customWidth="1"/>
    <col min="3419" max="3419" width="36.5703125" style="180" customWidth="1"/>
    <col min="3420" max="3432" width="36.85546875" style="180" customWidth="1"/>
    <col min="3433" max="3433" width="36.5703125" style="180" customWidth="1"/>
    <col min="3434" max="3436" width="36.85546875" style="180" customWidth="1"/>
    <col min="3437" max="3437" width="36.5703125" style="180" customWidth="1"/>
    <col min="3438" max="3445" width="36.85546875" style="180" customWidth="1"/>
    <col min="3446" max="3446" width="36.5703125" style="180" customWidth="1"/>
    <col min="3447" max="3584" width="36.85546875" style="180"/>
    <col min="3585" max="3585" width="18.5703125" style="180" customWidth="1"/>
    <col min="3586" max="3594" width="31.42578125" style="180" customWidth="1"/>
    <col min="3595" max="3611" width="36.85546875" style="180" customWidth="1"/>
    <col min="3612" max="3612" width="37" style="180" customWidth="1"/>
    <col min="3613" max="3628" width="36.85546875" style="180" customWidth="1"/>
    <col min="3629" max="3629" width="37.140625" style="180" customWidth="1"/>
    <col min="3630" max="3631" width="36.85546875" style="180" customWidth="1"/>
    <col min="3632" max="3632" width="36.5703125" style="180" customWidth="1"/>
    <col min="3633" max="3634" width="36.85546875" style="180" customWidth="1"/>
    <col min="3635" max="3635" width="36.5703125" style="180" customWidth="1"/>
    <col min="3636" max="3636" width="37" style="180" customWidth="1"/>
    <col min="3637" max="3655" width="36.85546875" style="180" customWidth="1"/>
    <col min="3656" max="3656" width="37" style="180" customWidth="1"/>
    <col min="3657" max="3674" width="36.85546875" style="180" customWidth="1"/>
    <col min="3675" max="3675" width="36.5703125" style="180" customWidth="1"/>
    <col min="3676" max="3688" width="36.85546875" style="180" customWidth="1"/>
    <col min="3689" max="3689" width="36.5703125" style="180" customWidth="1"/>
    <col min="3690" max="3692" width="36.85546875" style="180" customWidth="1"/>
    <col min="3693" max="3693" width="36.5703125" style="180" customWidth="1"/>
    <col min="3694" max="3701" width="36.85546875" style="180" customWidth="1"/>
    <col min="3702" max="3702" width="36.5703125" style="180" customWidth="1"/>
    <col min="3703" max="3840" width="36.85546875" style="180"/>
    <col min="3841" max="3841" width="18.5703125" style="180" customWidth="1"/>
    <col min="3842" max="3850" width="31.42578125" style="180" customWidth="1"/>
    <col min="3851" max="3867" width="36.85546875" style="180" customWidth="1"/>
    <col min="3868" max="3868" width="37" style="180" customWidth="1"/>
    <col min="3869" max="3884" width="36.85546875" style="180" customWidth="1"/>
    <col min="3885" max="3885" width="37.140625" style="180" customWidth="1"/>
    <col min="3886" max="3887" width="36.85546875" style="180" customWidth="1"/>
    <col min="3888" max="3888" width="36.5703125" style="180" customWidth="1"/>
    <col min="3889" max="3890" width="36.85546875" style="180" customWidth="1"/>
    <col min="3891" max="3891" width="36.5703125" style="180" customWidth="1"/>
    <col min="3892" max="3892" width="37" style="180" customWidth="1"/>
    <col min="3893" max="3911" width="36.85546875" style="180" customWidth="1"/>
    <col min="3912" max="3912" width="37" style="180" customWidth="1"/>
    <col min="3913" max="3930" width="36.85546875" style="180" customWidth="1"/>
    <col min="3931" max="3931" width="36.5703125" style="180" customWidth="1"/>
    <col min="3932" max="3944" width="36.85546875" style="180" customWidth="1"/>
    <col min="3945" max="3945" width="36.5703125" style="180" customWidth="1"/>
    <col min="3946" max="3948" width="36.85546875" style="180" customWidth="1"/>
    <col min="3949" max="3949" width="36.5703125" style="180" customWidth="1"/>
    <col min="3950" max="3957" width="36.85546875" style="180" customWidth="1"/>
    <col min="3958" max="3958" width="36.5703125" style="180" customWidth="1"/>
    <col min="3959" max="4096" width="36.85546875" style="180"/>
    <col min="4097" max="4097" width="18.5703125" style="180" customWidth="1"/>
    <col min="4098" max="4106" width="31.42578125" style="180" customWidth="1"/>
    <col min="4107" max="4123" width="36.85546875" style="180" customWidth="1"/>
    <col min="4124" max="4124" width="37" style="180" customWidth="1"/>
    <col min="4125" max="4140" width="36.85546875" style="180" customWidth="1"/>
    <col min="4141" max="4141" width="37.140625" style="180" customWidth="1"/>
    <col min="4142" max="4143" width="36.85546875" style="180" customWidth="1"/>
    <col min="4144" max="4144" width="36.5703125" style="180" customWidth="1"/>
    <col min="4145" max="4146" width="36.85546875" style="180" customWidth="1"/>
    <col min="4147" max="4147" width="36.5703125" style="180" customWidth="1"/>
    <col min="4148" max="4148" width="37" style="180" customWidth="1"/>
    <col min="4149" max="4167" width="36.85546875" style="180" customWidth="1"/>
    <col min="4168" max="4168" width="37" style="180" customWidth="1"/>
    <col min="4169" max="4186" width="36.85546875" style="180" customWidth="1"/>
    <col min="4187" max="4187" width="36.5703125" style="180" customWidth="1"/>
    <col min="4188" max="4200" width="36.85546875" style="180" customWidth="1"/>
    <col min="4201" max="4201" width="36.5703125" style="180" customWidth="1"/>
    <col min="4202" max="4204" width="36.85546875" style="180" customWidth="1"/>
    <col min="4205" max="4205" width="36.5703125" style="180" customWidth="1"/>
    <col min="4206" max="4213" width="36.85546875" style="180" customWidth="1"/>
    <col min="4214" max="4214" width="36.5703125" style="180" customWidth="1"/>
    <col min="4215" max="4352" width="36.85546875" style="180"/>
    <col min="4353" max="4353" width="18.5703125" style="180" customWidth="1"/>
    <col min="4354" max="4362" width="31.42578125" style="180" customWidth="1"/>
    <col min="4363" max="4379" width="36.85546875" style="180" customWidth="1"/>
    <col min="4380" max="4380" width="37" style="180" customWidth="1"/>
    <col min="4381" max="4396" width="36.85546875" style="180" customWidth="1"/>
    <col min="4397" max="4397" width="37.140625" style="180" customWidth="1"/>
    <col min="4398" max="4399" width="36.85546875" style="180" customWidth="1"/>
    <col min="4400" max="4400" width="36.5703125" style="180" customWidth="1"/>
    <col min="4401" max="4402" width="36.85546875" style="180" customWidth="1"/>
    <col min="4403" max="4403" width="36.5703125" style="180" customWidth="1"/>
    <col min="4404" max="4404" width="37" style="180" customWidth="1"/>
    <col min="4405" max="4423" width="36.85546875" style="180" customWidth="1"/>
    <col min="4424" max="4424" width="37" style="180" customWidth="1"/>
    <col min="4425" max="4442" width="36.85546875" style="180" customWidth="1"/>
    <col min="4443" max="4443" width="36.5703125" style="180" customWidth="1"/>
    <col min="4444" max="4456" width="36.85546875" style="180" customWidth="1"/>
    <col min="4457" max="4457" width="36.5703125" style="180" customWidth="1"/>
    <col min="4458" max="4460" width="36.85546875" style="180" customWidth="1"/>
    <col min="4461" max="4461" width="36.5703125" style="180" customWidth="1"/>
    <col min="4462" max="4469" width="36.85546875" style="180" customWidth="1"/>
    <col min="4470" max="4470" width="36.5703125" style="180" customWidth="1"/>
    <col min="4471" max="4608" width="36.85546875" style="180"/>
    <col min="4609" max="4609" width="18.5703125" style="180" customWidth="1"/>
    <col min="4610" max="4618" width="31.42578125" style="180" customWidth="1"/>
    <col min="4619" max="4635" width="36.85546875" style="180" customWidth="1"/>
    <col min="4636" max="4636" width="37" style="180" customWidth="1"/>
    <col min="4637" max="4652" width="36.85546875" style="180" customWidth="1"/>
    <col min="4653" max="4653" width="37.140625" style="180" customWidth="1"/>
    <col min="4654" max="4655" width="36.85546875" style="180" customWidth="1"/>
    <col min="4656" max="4656" width="36.5703125" style="180" customWidth="1"/>
    <col min="4657" max="4658" width="36.85546875" style="180" customWidth="1"/>
    <col min="4659" max="4659" width="36.5703125" style="180" customWidth="1"/>
    <col min="4660" max="4660" width="37" style="180" customWidth="1"/>
    <col min="4661" max="4679" width="36.85546875" style="180" customWidth="1"/>
    <col min="4680" max="4680" width="37" style="180" customWidth="1"/>
    <col min="4681" max="4698" width="36.85546875" style="180" customWidth="1"/>
    <col min="4699" max="4699" width="36.5703125" style="180" customWidth="1"/>
    <col min="4700" max="4712" width="36.85546875" style="180" customWidth="1"/>
    <col min="4713" max="4713" width="36.5703125" style="180" customWidth="1"/>
    <col min="4714" max="4716" width="36.85546875" style="180" customWidth="1"/>
    <col min="4717" max="4717" width="36.5703125" style="180" customWidth="1"/>
    <col min="4718" max="4725" width="36.85546875" style="180" customWidth="1"/>
    <col min="4726" max="4726" width="36.5703125" style="180" customWidth="1"/>
    <col min="4727" max="4864" width="36.85546875" style="180"/>
    <col min="4865" max="4865" width="18.5703125" style="180" customWidth="1"/>
    <col min="4866" max="4874" width="31.42578125" style="180" customWidth="1"/>
    <col min="4875" max="4891" width="36.85546875" style="180" customWidth="1"/>
    <col min="4892" max="4892" width="37" style="180" customWidth="1"/>
    <col min="4893" max="4908" width="36.85546875" style="180" customWidth="1"/>
    <col min="4909" max="4909" width="37.140625" style="180" customWidth="1"/>
    <col min="4910" max="4911" width="36.85546875" style="180" customWidth="1"/>
    <col min="4912" max="4912" width="36.5703125" style="180" customWidth="1"/>
    <col min="4913" max="4914" width="36.85546875" style="180" customWidth="1"/>
    <col min="4915" max="4915" width="36.5703125" style="180" customWidth="1"/>
    <col min="4916" max="4916" width="37" style="180" customWidth="1"/>
    <col min="4917" max="4935" width="36.85546875" style="180" customWidth="1"/>
    <col min="4936" max="4936" width="37" style="180" customWidth="1"/>
    <col min="4937" max="4954" width="36.85546875" style="180" customWidth="1"/>
    <col min="4955" max="4955" width="36.5703125" style="180" customWidth="1"/>
    <col min="4956" max="4968" width="36.85546875" style="180" customWidth="1"/>
    <col min="4969" max="4969" width="36.5703125" style="180" customWidth="1"/>
    <col min="4970" max="4972" width="36.85546875" style="180" customWidth="1"/>
    <col min="4973" max="4973" width="36.5703125" style="180" customWidth="1"/>
    <col min="4974" max="4981" width="36.85546875" style="180" customWidth="1"/>
    <col min="4982" max="4982" width="36.5703125" style="180" customWidth="1"/>
    <col min="4983" max="5120" width="36.85546875" style="180"/>
    <col min="5121" max="5121" width="18.5703125" style="180" customWidth="1"/>
    <col min="5122" max="5130" width="31.42578125" style="180" customWidth="1"/>
    <col min="5131" max="5147" width="36.85546875" style="180" customWidth="1"/>
    <col min="5148" max="5148" width="37" style="180" customWidth="1"/>
    <col min="5149" max="5164" width="36.85546875" style="180" customWidth="1"/>
    <col min="5165" max="5165" width="37.140625" style="180" customWidth="1"/>
    <col min="5166" max="5167" width="36.85546875" style="180" customWidth="1"/>
    <col min="5168" max="5168" width="36.5703125" style="180" customWidth="1"/>
    <col min="5169" max="5170" width="36.85546875" style="180" customWidth="1"/>
    <col min="5171" max="5171" width="36.5703125" style="180" customWidth="1"/>
    <col min="5172" max="5172" width="37" style="180" customWidth="1"/>
    <col min="5173" max="5191" width="36.85546875" style="180" customWidth="1"/>
    <col min="5192" max="5192" width="37" style="180" customWidth="1"/>
    <col min="5193" max="5210" width="36.85546875" style="180" customWidth="1"/>
    <col min="5211" max="5211" width="36.5703125" style="180" customWidth="1"/>
    <col min="5212" max="5224" width="36.85546875" style="180" customWidth="1"/>
    <col min="5225" max="5225" width="36.5703125" style="180" customWidth="1"/>
    <col min="5226" max="5228" width="36.85546875" style="180" customWidth="1"/>
    <col min="5229" max="5229" width="36.5703125" style="180" customWidth="1"/>
    <col min="5230" max="5237" width="36.85546875" style="180" customWidth="1"/>
    <col min="5238" max="5238" width="36.5703125" style="180" customWidth="1"/>
    <col min="5239" max="5376" width="36.85546875" style="180"/>
    <col min="5377" max="5377" width="18.5703125" style="180" customWidth="1"/>
    <col min="5378" max="5386" width="31.42578125" style="180" customWidth="1"/>
    <col min="5387" max="5403" width="36.85546875" style="180" customWidth="1"/>
    <col min="5404" max="5404" width="37" style="180" customWidth="1"/>
    <col min="5405" max="5420" width="36.85546875" style="180" customWidth="1"/>
    <col min="5421" max="5421" width="37.140625" style="180" customWidth="1"/>
    <col min="5422" max="5423" width="36.85546875" style="180" customWidth="1"/>
    <col min="5424" max="5424" width="36.5703125" style="180" customWidth="1"/>
    <col min="5425" max="5426" width="36.85546875" style="180" customWidth="1"/>
    <col min="5427" max="5427" width="36.5703125" style="180" customWidth="1"/>
    <col min="5428" max="5428" width="37" style="180" customWidth="1"/>
    <col min="5429" max="5447" width="36.85546875" style="180" customWidth="1"/>
    <col min="5448" max="5448" width="37" style="180" customWidth="1"/>
    <col min="5449" max="5466" width="36.85546875" style="180" customWidth="1"/>
    <col min="5467" max="5467" width="36.5703125" style="180" customWidth="1"/>
    <col min="5468" max="5480" width="36.85546875" style="180" customWidth="1"/>
    <col min="5481" max="5481" width="36.5703125" style="180" customWidth="1"/>
    <col min="5482" max="5484" width="36.85546875" style="180" customWidth="1"/>
    <col min="5485" max="5485" width="36.5703125" style="180" customWidth="1"/>
    <col min="5486" max="5493" width="36.85546875" style="180" customWidth="1"/>
    <col min="5494" max="5494" width="36.5703125" style="180" customWidth="1"/>
    <col min="5495" max="5632" width="36.85546875" style="180"/>
    <col min="5633" max="5633" width="18.5703125" style="180" customWidth="1"/>
    <col min="5634" max="5642" width="31.42578125" style="180" customWidth="1"/>
    <col min="5643" max="5659" width="36.85546875" style="180" customWidth="1"/>
    <col min="5660" max="5660" width="37" style="180" customWidth="1"/>
    <col min="5661" max="5676" width="36.85546875" style="180" customWidth="1"/>
    <col min="5677" max="5677" width="37.140625" style="180" customWidth="1"/>
    <col min="5678" max="5679" width="36.85546875" style="180" customWidth="1"/>
    <col min="5680" max="5680" width="36.5703125" style="180" customWidth="1"/>
    <col min="5681" max="5682" width="36.85546875" style="180" customWidth="1"/>
    <col min="5683" max="5683" width="36.5703125" style="180" customWidth="1"/>
    <col min="5684" max="5684" width="37" style="180" customWidth="1"/>
    <col min="5685" max="5703" width="36.85546875" style="180" customWidth="1"/>
    <col min="5704" max="5704" width="37" style="180" customWidth="1"/>
    <col min="5705" max="5722" width="36.85546875" style="180" customWidth="1"/>
    <col min="5723" max="5723" width="36.5703125" style="180" customWidth="1"/>
    <col min="5724" max="5736" width="36.85546875" style="180" customWidth="1"/>
    <col min="5737" max="5737" width="36.5703125" style="180" customWidth="1"/>
    <col min="5738" max="5740" width="36.85546875" style="180" customWidth="1"/>
    <col min="5741" max="5741" width="36.5703125" style="180" customWidth="1"/>
    <col min="5742" max="5749" width="36.85546875" style="180" customWidth="1"/>
    <col min="5750" max="5750" width="36.5703125" style="180" customWidth="1"/>
    <col min="5751" max="5888" width="36.85546875" style="180"/>
    <col min="5889" max="5889" width="18.5703125" style="180" customWidth="1"/>
    <col min="5890" max="5898" width="31.42578125" style="180" customWidth="1"/>
    <col min="5899" max="5915" width="36.85546875" style="180" customWidth="1"/>
    <col min="5916" max="5916" width="37" style="180" customWidth="1"/>
    <col min="5917" max="5932" width="36.85546875" style="180" customWidth="1"/>
    <col min="5933" max="5933" width="37.140625" style="180" customWidth="1"/>
    <col min="5934" max="5935" width="36.85546875" style="180" customWidth="1"/>
    <col min="5936" max="5936" width="36.5703125" style="180" customWidth="1"/>
    <col min="5937" max="5938" width="36.85546875" style="180" customWidth="1"/>
    <col min="5939" max="5939" width="36.5703125" style="180" customWidth="1"/>
    <col min="5940" max="5940" width="37" style="180" customWidth="1"/>
    <col min="5941" max="5959" width="36.85546875" style="180" customWidth="1"/>
    <col min="5960" max="5960" width="37" style="180" customWidth="1"/>
    <col min="5961" max="5978" width="36.85546875" style="180" customWidth="1"/>
    <col min="5979" max="5979" width="36.5703125" style="180" customWidth="1"/>
    <col min="5980" max="5992" width="36.85546875" style="180" customWidth="1"/>
    <col min="5993" max="5993" width="36.5703125" style="180" customWidth="1"/>
    <col min="5994" max="5996" width="36.85546875" style="180" customWidth="1"/>
    <col min="5997" max="5997" width="36.5703125" style="180" customWidth="1"/>
    <col min="5998" max="6005" width="36.85546875" style="180" customWidth="1"/>
    <col min="6006" max="6006" width="36.5703125" style="180" customWidth="1"/>
    <col min="6007" max="6144" width="36.85546875" style="180"/>
    <col min="6145" max="6145" width="18.5703125" style="180" customWidth="1"/>
    <col min="6146" max="6154" width="31.42578125" style="180" customWidth="1"/>
    <col min="6155" max="6171" width="36.85546875" style="180" customWidth="1"/>
    <col min="6172" max="6172" width="37" style="180" customWidth="1"/>
    <col min="6173" max="6188" width="36.85546875" style="180" customWidth="1"/>
    <col min="6189" max="6189" width="37.140625" style="180" customWidth="1"/>
    <col min="6190" max="6191" width="36.85546875" style="180" customWidth="1"/>
    <col min="6192" max="6192" width="36.5703125" style="180" customWidth="1"/>
    <col min="6193" max="6194" width="36.85546875" style="180" customWidth="1"/>
    <col min="6195" max="6195" width="36.5703125" style="180" customWidth="1"/>
    <col min="6196" max="6196" width="37" style="180" customWidth="1"/>
    <col min="6197" max="6215" width="36.85546875" style="180" customWidth="1"/>
    <col min="6216" max="6216" width="37" style="180" customWidth="1"/>
    <col min="6217" max="6234" width="36.85546875" style="180" customWidth="1"/>
    <col min="6235" max="6235" width="36.5703125" style="180" customWidth="1"/>
    <col min="6236" max="6248" width="36.85546875" style="180" customWidth="1"/>
    <col min="6249" max="6249" width="36.5703125" style="180" customWidth="1"/>
    <col min="6250" max="6252" width="36.85546875" style="180" customWidth="1"/>
    <col min="6253" max="6253" width="36.5703125" style="180" customWidth="1"/>
    <col min="6254" max="6261" width="36.85546875" style="180" customWidth="1"/>
    <col min="6262" max="6262" width="36.5703125" style="180" customWidth="1"/>
    <col min="6263" max="6400" width="36.85546875" style="180"/>
    <col min="6401" max="6401" width="18.5703125" style="180" customWidth="1"/>
    <col min="6402" max="6410" width="31.42578125" style="180" customWidth="1"/>
    <col min="6411" max="6427" width="36.85546875" style="180" customWidth="1"/>
    <col min="6428" max="6428" width="37" style="180" customWidth="1"/>
    <col min="6429" max="6444" width="36.85546875" style="180" customWidth="1"/>
    <col min="6445" max="6445" width="37.140625" style="180" customWidth="1"/>
    <col min="6446" max="6447" width="36.85546875" style="180" customWidth="1"/>
    <col min="6448" max="6448" width="36.5703125" style="180" customWidth="1"/>
    <col min="6449" max="6450" width="36.85546875" style="180" customWidth="1"/>
    <col min="6451" max="6451" width="36.5703125" style="180" customWidth="1"/>
    <col min="6452" max="6452" width="37" style="180" customWidth="1"/>
    <col min="6453" max="6471" width="36.85546875" style="180" customWidth="1"/>
    <col min="6472" max="6472" width="37" style="180" customWidth="1"/>
    <col min="6473" max="6490" width="36.85546875" style="180" customWidth="1"/>
    <col min="6491" max="6491" width="36.5703125" style="180" customWidth="1"/>
    <col min="6492" max="6504" width="36.85546875" style="180" customWidth="1"/>
    <col min="6505" max="6505" width="36.5703125" style="180" customWidth="1"/>
    <col min="6506" max="6508" width="36.85546875" style="180" customWidth="1"/>
    <col min="6509" max="6509" width="36.5703125" style="180" customWidth="1"/>
    <col min="6510" max="6517" width="36.85546875" style="180" customWidth="1"/>
    <col min="6518" max="6518" width="36.5703125" style="180" customWidth="1"/>
    <col min="6519" max="6656" width="36.85546875" style="180"/>
    <col min="6657" max="6657" width="18.5703125" style="180" customWidth="1"/>
    <col min="6658" max="6666" width="31.42578125" style="180" customWidth="1"/>
    <col min="6667" max="6683" width="36.85546875" style="180" customWidth="1"/>
    <col min="6684" max="6684" width="37" style="180" customWidth="1"/>
    <col min="6685" max="6700" width="36.85546875" style="180" customWidth="1"/>
    <col min="6701" max="6701" width="37.140625" style="180" customWidth="1"/>
    <col min="6702" max="6703" width="36.85546875" style="180" customWidth="1"/>
    <col min="6704" max="6704" width="36.5703125" style="180" customWidth="1"/>
    <col min="6705" max="6706" width="36.85546875" style="180" customWidth="1"/>
    <col min="6707" max="6707" width="36.5703125" style="180" customWidth="1"/>
    <col min="6708" max="6708" width="37" style="180" customWidth="1"/>
    <col min="6709" max="6727" width="36.85546875" style="180" customWidth="1"/>
    <col min="6728" max="6728" width="37" style="180" customWidth="1"/>
    <col min="6729" max="6746" width="36.85546875" style="180" customWidth="1"/>
    <col min="6747" max="6747" width="36.5703125" style="180" customWidth="1"/>
    <col min="6748" max="6760" width="36.85546875" style="180" customWidth="1"/>
    <col min="6761" max="6761" width="36.5703125" style="180" customWidth="1"/>
    <col min="6762" max="6764" width="36.85546875" style="180" customWidth="1"/>
    <col min="6765" max="6765" width="36.5703125" style="180" customWidth="1"/>
    <col min="6766" max="6773" width="36.85546875" style="180" customWidth="1"/>
    <col min="6774" max="6774" width="36.5703125" style="180" customWidth="1"/>
    <col min="6775" max="6912" width="36.85546875" style="180"/>
    <col min="6913" max="6913" width="18.5703125" style="180" customWidth="1"/>
    <col min="6914" max="6922" width="31.42578125" style="180" customWidth="1"/>
    <col min="6923" max="6939" width="36.85546875" style="180" customWidth="1"/>
    <col min="6940" max="6940" width="37" style="180" customWidth="1"/>
    <col min="6941" max="6956" width="36.85546875" style="180" customWidth="1"/>
    <col min="6957" max="6957" width="37.140625" style="180" customWidth="1"/>
    <col min="6958" max="6959" width="36.85546875" style="180" customWidth="1"/>
    <col min="6960" max="6960" width="36.5703125" style="180" customWidth="1"/>
    <col min="6961" max="6962" width="36.85546875" style="180" customWidth="1"/>
    <col min="6963" max="6963" width="36.5703125" style="180" customWidth="1"/>
    <col min="6964" max="6964" width="37" style="180" customWidth="1"/>
    <col min="6965" max="6983" width="36.85546875" style="180" customWidth="1"/>
    <col min="6984" max="6984" width="37" style="180" customWidth="1"/>
    <col min="6985" max="7002" width="36.85546875" style="180" customWidth="1"/>
    <col min="7003" max="7003" width="36.5703125" style="180" customWidth="1"/>
    <col min="7004" max="7016" width="36.85546875" style="180" customWidth="1"/>
    <col min="7017" max="7017" width="36.5703125" style="180" customWidth="1"/>
    <col min="7018" max="7020" width="36.85546875" style="180" customWidth="1"/>
    <col min="7021" max="7021" width="36.5703125" style="180" customWidth="1"/>
    <col min="7022" max="7029" width="36.85546875" style="180" customWidth="1"/>
    <col min="7030" max="7030" width="36.5703125" style="180" customWidth="1"/>
    <col min="7031" max="7168" width="36.85546875" style="180"/>
    <col min="7169" max="7169" width="18.5703125" style="180" customWidth="1"/>
    <col min="7170" max="7178" width="31.42578125" style="180" customWidth="1"/>
    <col min="7179" max="7195" width="36.85546875" style="180" customWidth="1"/>
    <col min="7196" max="7196" width="37" style="180" customWidth="1"/>
    <col min="7197" max="7212" width="36.85546875" style="180" customWidth="1"/>
    <col min="7213" max="7213" width="37.140625" style="180" customWidth="1"/>
    <col min="7214" max="7215" width="36.85546875" style="180" customWidth="1"/>
    <col min="7216" max="7216" width="36.5703125" style="180" customWidth="1"/>
    <col min="7217" max="7218" width="36.85546875" style="180" customWidth="1"/>
    <col min="7219" max="7219" width="36.5703125" style="180" customWidth="1"/>
    <col min="7220" max="7220" width="37" style="180" customWidth="1"/>
    <col min="7221" max="7239" width="36.85546875" style="180" customWidth="1"/>
    <col min="7240" max="7240" width="37" style="180" customWidth="1"/>
    <col min="7241" max="7258" width="36.85546875" style="180" customWidth="1"/>
    <col min="7259" max="7259" width="36.5703125" style="180" customWidth="1"/>
    <col min="7260" max="7272" width="36.85546875" style="180" customWidth="1"/>
    <col min="7273" max="7273" width="36.5703125" style="180" customWidth="1"/>
    <col min="7274" max="7276" width="36.85546875" style="180" customWidth="1"/>
    <col min="7277" max="7277" width="36.5703125" style="180" customWidth="1"/>
    <col min="7278" max="7285" width="36.85546875" style="180" customWidth="1"/>
    <col min="7286" max="7286" width="36.5703125" style="180" customWidth="1"/>
    <col min="7287" max="7424" width="36.85546875" style="180"/>
    <col min="7425" max="7425" width="18.5703125" style="180" customWidth="1"/>
    <col min="7426" max="7434" width="31.42578125" style="180" customWidth="1"/>
    <col min="7435" max="7451" width="36.85546875" style="180" customWidth="1"/>
    <col min="7452" max="7452" width="37" style="180" customWidth="1"/>
    <col min="7453" max="7468" width="36.85546875" style="180" customWidth="1"/>
    <col min="7469" max="7469" width="37.140625" style="180" customWidth="1"/>
    <col min="7470" max="7471" width="36.85546875" style="180" customWidth="1"/>
    <col min="7472" max="7472" width="36.5703125" style="180" customWidth="1"/>
    <col min="7473" max="7474" width="36.85546875" style="180" customWidth="1"/>
    <col min="7475" max="7475" width="36.5703125" style="180" customWidth="1"/>
    <col min="7476" max="7476" width="37" style="180" customWidth="1"/>
    <col min="7477" max="7495" width="36.85546875" style="180" customWidth="1"/>
    <col min="7496" max="7496" width="37" style="180" customWidth="1"/>
    <col min="7497" max="7514" width="36.85546875" style="180" customWidth="1"/>
    <col min="7515" max="7515" width="36.5703125" style="180" customWidth="1"/>
    <col min="7516" max="7528" width="36.85546875" style="180" customWidth="1"/>
    <col min="7529" max="7529" width="36.5703125" style="180" customWidth="1"/>
    <col min="7530" max="7532" width="36.85546875" style="180" customWidth="1"/>
    <col min="7533" max="7533" width="36.5703125" style="180" customWidth="1"/>
    <col min="7534" max="7541" width="36.85546875" style="180" customWidth="1"/>
    <col min="7542" max="7542" width="36.5703125" style="180" customWidth="1"/>
    <col min="7543" max="7680" width="36.85546875" style="180"/>
    <col min="7681" max="7681" width="18.5703125" style="180" customWidth="1"/>
    <col min="7682" max="7690" width="31.42578125" style="180" customWidth="1"/>
    <col min="7691" max="7707" width="36.85546875" style="180" customWidth="1"/>
    <col min="7708" max="7708" width="37" style="180" customWidth="1"/>
    <col min="7709" max="7724" width="36.85546875" style="180" customWidth="1"/>
    <col min="7725" max="7725" width="37.140625" style="180" customWidth="1"/>
    <col min="7726" max="7727" width="36.85546875" style="180" customWidth="1"/>
    <col min="7728" max="7728" width="36.5703125" style="180" customWidth="1"/>
    <col min="7729" max="7730" width="36.85546875" style="180" customWidth="1"/>
    <col min="7731" max="7731" width="36.5703125" style="180" customWidth="1"/>
    <col min="7732" max="7732" width="37" style="180" customWidth="1"/>
    <col min="7733" max="7751" width="36.85546875" style="180" customWidth="1"/>
    <col min="7752" max="7752" width="37" style="180" customWidth="1"/>
    <col min="7753" max="7770" width="36.85546875" style="180" customWidth="1"/>
    <col min="7771" max="7771" width="36.5703125" style="180" customWidth="1"/>
    <col min="7772" max="7784" width="36.85546875" style="180" customWidth="1"/>
    <col min="7785" max="7785" width="36.5703125" style="180" customWidth="1"/>
    <col min="7786" max="7788" width="36.85546875" style="180" customWidth="1"/>
    <col min="7789" max="7789" width="36.5703125" style="180" customWidth="1"/>
    <col min="7790" max="7797" width="36.85546875" style="180" customWidth="1"/>
    <col min="7798" max="7798" width="36.5703125" style="180" customWidth="1"/>
    <col min="7799" max="7936" width="36.85546875" style="180"/>
    <col min="7937" max="7937" width="18.5703125" style="180" customWidth="1"/>
    <col min="7938" max="7946" width="31.42578125" style="180" customWidth="1"/>
    <col min="7947" max="7963" width="36.85546875" style="180" customWidth="1"/>
    <col min="7964" max="7964" width="37" style="180" customWidth="1"/>
    <col min="7965" max="7980" width="36.85546875" style="180" customWidth="1"/>
    <col min="7981" max="7981" width="37.140625" style="180" customWidth="1"/>
    <col min="7982" max="7983" width="36.85546875" style="180" customWidth="1"/>
    <col min="7984" max="7984" width="36.5703125" style="180" customWidth="1"/>
    <col min="7985" max="7986" width="36.85546875" style="180" customWidth="1"/>
    <col min="7987" max="7987" width="36.5703125" style="180" customWidth="1"/>
    <col min="7988" max="7988" width="37" style="180" customWidth="1"/>
    <col min="7989" max="8007" width="36.85546875" style="180" customWidth="1"/>
    <col min="8008" max="8008" width="37" style="180" customWidth="1"/>
    <col min="8009" max="8026" width="36.85546875" style="180" customWidth="1"/>
    <col min="8027" max="8027" width="36.5703125" style="180" customWidth="1"/>
    <col min="8028" max="8040" width="36.85546875" style="180" customWidth="1"/>
    <col min="8041" max="8041" width="36.5703125" style="180" customWidth="1"/>
    <col min="8042" max="8044" width="36.85546875" style="180" customWidth="1"/>
    <col min="8045" max="8045" width="36.5703125" style="180" customWidth="1"/>
    <col min="8046" max="8053" width="36.85546875" style="180" customWidth="1"/>
    <col min="8054" max="8054" width="36.5703125" style="180" customWidth="1"/>
    <col min="8055" max="8192" width="36.85546875" style="180"/>
    <col min="8193" max="8193" width="18.5703125" style="180" customWidth="1"/>
    <col min="8194" max="8202" width="31.42578125" style="180" customWidth="1"/>
    <col min="8203" max="8219" width="36.85546875" style="180" customWidth="1"/>
    <col min="8220" max="8220" width="37" style="180" customWidth="1"/>
    <col min="8221" max="8236" width="36.85546875" style="180" customWidth="1"/>
    <col min="8237" max="8237" width="37.140625" style="180" customWidth="1"/>
    <col min="8238" max="8239" width="36.85546875" style="180" customWidth="1"/>
    <col min="8240" max="8240" width="36.5703125" style="180" customWidth="1"/>
    <col min="8241" max="8242" width="36.85546875" style="180" customWidth="1"/>
    <col min="8243" max="8243" width="36.5703125" style="180" customWidth="1"/>
    <col min="8244" max="8244" width="37" style="180" customWidth="1"/>
    <col min="8245" max="8263" width="36.85546875" style="180" customWidth="1"/>
    <col min="8264" max="8264" width="37" style="180" customWidth="1"/>
    <col min="8265" max="8282" width="36.85546875" style="180" customWidth="1"/>
    <col min="8283" max="8283" width="36.5703125" style="180" customWidth="1"/>
    <col min="8284" max="8296" width="36.85546875" style="180" customWidth="1"/>
    <col min="8297" max="8297" width="36.5703125" style="180" customWidth="1"/>
    <col min="8298" max="8300" width="36.85546875" style="180" customWidth="1"/>
    <col min="8301" max="8301" width="36.5703125" style="180" customWidth="1"/>
    <col min="8302" max="8309" width="36.85546875" style="180" customWidth="1"/>
    <col min="8310" max="8310" width="36.5703125" style="180" customWidth="1"/>
    <col min="8311" max="8448" width="36.85546875" style="180"/>
    <col min="8449" max="8449" width="18.5703125" style="180" customWidth="1"/>
    <col min="8450" max="8458" width="31.42578125" style="180" customWidth="1"/>
    <col min="8459" max="8475" width="36.85546875" style="180" customWidth="1"/>
    <col min="8476" max="8476" width="37" style="180" customWidth="1"/>
    <col min="8477" max="8492" width="36.85546875" style="180" customWidth="1"/>
    <col min="8493" max="8493" width="37.140625" style="180" customWidth="1"/>
    <col min="8494" max="8495" width="36.85546875" style="180" customWidth="1"/>
    <col min="8496" max="8496" width="36.5703125" style="180" customWidth="1"/>
    <col min="8497" max="8498" width="36.85546875" style="180" customWidth="1"/>
    <col min="8499" max="8499" width="36.5703125" style="180" customWidth="1"/>
    <col min="8500" max="8500" width="37" style="180" customWidth="1"/>
    <col min="8501" max="8519" width="36.85546875" style="180" customWidth="1"/>
    <col min="8520" max="8520" width="37" style="180" customWidth="1"/>
    <col min="8521" max="8538" width="36.85546875" style="180" customWidth="1"/>
    <col min="8539" max="8539" width="36.5703125" style="180" customWidth="1"/>
    <col min="8540" max="8552" width="36.85546875" style="180" customWidth="1"/>
    <col min="8553" max="8553" width="36.5703125" style="180" customWidth="1"/>
    <col min="8554" max="8556" width="36.85546875" style="180" customWidth="1"/>
    <col min="8557" max="8557" width="36.5703125" style="180" customWidth="1"/>
    <col min="8558" max="8565" width="36.85546875" style="180" customWidth="1"/>
    <col min="8566" max="8566" width="36.5703125" style="180" customWidth="1"/>
    <col min="8567" max="8704" width="36.85546875" style="180"/>
    <col min="8705" max="8705" width="18.5703125" style="180" customWidth="1"/>
    <col min="8706" max="8714" width="31.42578125" style="180" customWidth="1"/>
    <col min="8715" max="8731" width="36.85546875" style="180" customWidth="1"/>
    <col min="8732" max="8732" width="37" style="180" customWidth="1"/>
    <col min="8733" max="8748" width="36.85546875" style="180" customWidth="1"/>
    <col min="8749" max="8749" width="37.140625" style="180" customWidth="1"/>
    <col min="8750" max="8751" width="36.85546875" style="180" customWidth="1"/>
    <col min="8752" max="8752" width="36.5703125" style="180" customWidth="1"/>
    <col min="8753" max="8754" width="36.85546875" style="180" customWidth="1"/>
    <col min="8755" max="8755" width="36.5703125" style="180" customWidth="1"/>
    <col min="8756" max="8756" width="37" style="180" customWidth="1"/>
    <col min="8757" max="8775" width="36.85546875" style="180" customWidth="1"/>
    <col min="8776" max="8776" width="37" style="180" customWidth="1"/>
    <col min="8777" max="8794" width="36.85546875" style="180" customWidth="1"/>
    <col min="8795" max="8795" width="36.5703125" style="180" customWidth="1"/>
    <col min="8796" max="8808" width="36.85546875" style="180" customWidth="1"/>
    <col min="8809" max="8809" width="36.5703125" style="180" customWidth="1"/>
    <col min="8810" max="8812" width="36.85546875" style="180" customWidth="1"/>
    <col min="8813" max="8813" width="36.5703125" style="180" customWidth="1"/>
    <col min="8814" max="8821" width="36.85546875" style="180" customWidth="1"/>
    <col min="8822" max="8822" width="36.5703125" style="180" customWidth="1"/>
    <col min="8823" max="8960" width="36.85546875" style="180"/>
    <col min="8961" max="8961" width="18.5703125" style="180" customWidth="1"/>
    <col min="8962" max="8970" width="31.42578125" style="180" customWidth="1"/>
    <col min="8971" max="8987" width="36.85546875" style="180" customWidth="1"/>
    <col min="8988" max="8988" width="37" style="180" customWidth="1"/>
    <col min="8989" max="9004" width="36.85546875" style="180" customWidth="1"/>
    <col min="9005" max="9005" width="37.140625" style="180" customWidth="1"/>
    <col min="9006" max="9007" width="36.85546875" style="180" customWidth="1"/>
    <col min="9008" max="9008" width="36.5703125" style="180" customWidth="1"/>
    <col min="9009" max="9010" width="36.85546875" style="180" customWidth="1"/>
    <col min="9011" max="9011" width="36.5703125" style="180" customWidth="1"/>
    <col min="9012" max="9012" width="37" style="180" customWidth="1"/>
    <col min="9013" max="9031" width="36.85546875" style="180" customWidth="1"/>
    <col min="9032" max="9032" width="37" style="180" customWidth="1"/>
    <col min="9033" max="9050" width="36.85546875" style="180" customWidth="1"/>
    <col min="9051" max="9051" width="36.5703125" style="180" customWidth="1"/>
    <col min="9052" max="9064" width="36.85546875" style="180" customWidth="1"/>
    <col min="9065" max="9065" width="36.5703125" style="180" customWidth="1"/>
    <col min="9066" max="9068" width="36.85546875" style="180" customWidth="1"/>
    <col min="9069" max="9069" width="36.5703125" style="180" customWidth="1"/>
    <col min="9070" max="9077" width="36.85546875" style="180" customWidth="1"/>
    <col min="9078" max="9078" width="36.5703125" style="180" customWidth="1"/>
    <col min="9079" max="9216" width="36.85546875" style="180"/>
    <col min="9217" max="9217" width="18.5703125" style="180" customWidth="1"/>
    <col min="9218" max="9226" width="31.42578125" style="180" customWidth="1"/>
    <col min="9227" max="9243" width="36.85546875" style="180" customWidth="1"/>
    <col min="9244" max="9244" width="37" style="180" customWidth="1"/>
    <col min="9245" max="9260" width="36.85546875" style="180" customWidth="1"/>
    <col min="9261" max="9261" width="37.140625" style="180" customWidth="1"/>
    <col min="9262" max="9263" width="36.85546875" style="180" customWidth="1"/>
    <col min="9264" max="9264" width="36.5703125" style="180" customWidth="1"/>
    <col min="9265" max="9266" width="36.85546875" style="180" customWidth="1"/>
    <col min="9267" max="9267" width="36.5703125" style="180" customWidth="1"/>
    <col min="9268" max="9268" width="37" style="180" customWidth="1"/>
    <col min="9269" max="9287" width="36.85546875" style="180" customWidth="1"/>
    <col min="9288" max="9288" width="37" style="180" customWidth="1"/>
    <col min="9289" max="9306" width="36.85546875" style="180" customWidth="1"/>
    <col min="9307" max="9307" width="36.5703125" style="180" customWidth="1"/>
    <col min="9308" max="9320" width="36.85546875" style="180" customWidth="1"/>
    <col min="9321" max="9321" width="36.5703125" style="180" customWidth="1"/>
    <col min="9322" max="9324" width="36.85546875" style="180" customWidth="1"/>
    <col min="9325" max="9325" width="36.5703125" style="180" customWidth="1"/>
    <col min="9326" max="9333" width="36.85546875" style="180" customWidth="1"/>
    <col min="9334" max="9334" width="36.5703125" style="180" customWidth="1"/>
    <col min="9335" max="9472" width="36.85546875" style="180"/>
    <col min="9473" max="9473" width="18.5703125" style="180" customWidth="1"/>
    <col min="9474" max="9482" width="31.42578125" style="180" customWidth="1"/>
    <col min="9483" max="9499" width="36.85546875" style="180" customWidth="1"/>
    <col min="9500" max="9500" width="37" style="180" customWidth="1"/>
    <col min="9501" max="9516" width="36.85546875" style="180" customWidth="1"/>
    <col min="9517" max="9517" width="37.140625" style="180" customWidth="1"/>
    <col min="9518" max="9519" width="36.85546875" style="180" customWidth="1"/>
    <col min="9520" max="9520" width="36.5703125" style="180" customWidth="1"/>
    <col min="9521" max="9522" width="36.85546875" style="180" customWidth="1"/>
    <col min="9523" max="9523" width="36.5703125" style="180" customWidth="1"/>
    <col min="9524" max="9524" width="37" style="180" customWidth="1"/>
    <col min="9525" max="9543" width="36.85546875" style="180" customWidth="1"/>
    <col min="9544" max="9544" width="37" style="180" customWidth="1"/>
    <col min="9545" max="9562" width="36.85546875" style="180" customWidth="1"/>
    <col min="9563" max="9563" width="36.5703125" style="180" customWidth="1"/>
    <col min="9564" max="9576" width="36.85546875" style="180" customWidth="1"/>
    <col min="9577" max="9577" width="36.5703125" style="180" customWidth="1"/>
    <col min="9578" max="9580" width="36.85546875" style="180" customWidth="1"/>
    <col min="9581" max="9581" width="36.5703125" style="180" customWidth="1"/>
    <col min="9582" max="9589" width="36.85546875" style="180" customWidth="1"/>
    <col min="9590" max="9590" width="36.5703125" style="180" customWidth="1"/>
    <col min="9591" max="9728" width="36.85546875" style="180"/>
    <col min="9729" max="9729" width="18.5703125" style="180" customWidth="1"/>
    <col min="9730" max="9738" width="31.42578125" style="180" customWidth="1"/>
    <col min="9739" max="9755" width="36.85546875" style="180" customWidth="1"/>
    <col min="9756" max="9756" width="37" style="180" customWidth="1"/>
    <col min="9757" max="9772" width="36.85546875" style="180" customWidth="1"/>
    <col min="9773" max="9773" width="37.140625" style="180" customWidth="1"/>
    <col min="9774" max="9775" width="36.85546875" style="180" customWidth="1"/>
    <col min="9776" max="9776" width="36.5703125" style="180" customWidth="1"/>
    <col min="9777" max="9778" width="36.85546875" style="180" customWidth="1"/>
    <col min="9779" max="9779" width="36.5703125" style="180" customWidth="1"/>
    <col min="9780" max="9780" width="37" style="180" customWidth="1"/>
    <col min="9781" max="9799" width="36.85546875" style="180" customWidth="1"/>
    <col min="9800" max="9800" width="37" style="180" customWidth="1"/>
    <col min="9801" max="9818" width="36.85546875" style="180" customWidth="1"/>
    <col min="9819" max="9819" width="36.5703125" style="180" customWidth="1"/>
    <col min="9820" max="9832" width="36.85546875" style="180" customWidth="1"/>
    <col min="9833" max="9833" width="36.5703125" style="180" customWidth="1"/>
    <col min="9834" max="9836" width="36.85546875" style="180" customWidth="1"/>
    <col min="9837" max="9837" width="36.5703125" style="180" customWidth="1"/>
    <col min="9838" max="9845" width="36.85546875" style="180" customWidth="1"/>
    <col min="9846" max="9846" width="36.5703125" style="180" customWidth="1"/>
    <col min="9847" max="9984" width="36.85546875" style="180"/>
    <col min="9985" max="9985" width="18.5703125" style="180" customWidth="1"/>
    <col min="9986" max="9994" width="31.42578125" style="180" customWidth="1"/>
    <col min="9995" max="10011" width="36.85546875" style="180" customWidth="1"/>
    <col min="10012" max="10012" width="37" style="180" customWidth="1"/>
    <col min="10013" max="10028" width="36.85546875" style="180" customWidth="1"/>
    <col min="10029" max="10029" width="37.140625" style="180" customWidth="1"/>
    <col min="10030" max="10031" width="36.85546875" style="180" customWidth="1"/>
    <col min="10032" max="10032" width="36.5703125" style="180" customWidth="1"/>
    <col min="10033" max="10034" width="36.85546875" style="180" customWidth="1"/>
    <col min="10035" max="10035" width="36.5703125" style="180" customWidth="1"/>
    <col min="10036" max="10036" width="37" style="180" customWidth="1"/>
    <col min="10037" max="10055" width="36.85546875" style="180" customWidth="1"/>
    <col min="10056" max="10056" width="37" style="180" customWidth="1"/>
    <col min="10057" max="10074" width="36.85546875" style="180" customWidth="1"/>
    <col min="10075" max="10075" width="36.5703125" style="180" customWidth="1"/>
    <col min="10076" max="10088" width="36.85546875" style="180" customWidth="1"/>
    <col min="10089" max="10089" width="36.5703125" style="180" customWidth="1"/>
    <col min="10090" max="10092" width="36.85546875" style="180" customWidth="1"/>
    <col min="10093" max="10093" width="36.5703125" style="180" customWidth="1"/>
    <col min="10094" max="10101" width="36.85546875" style="180" customWidth="1"/>
    <col min="10102" max="10102" width="36.5703125" style="180" customWidth="1"/>
    <col min="10103" max="10240" width="36.85546875" style="180"/>
    <col min="10241" max="10241" width="18.5703125" style="180" customWidth="1"/>
    <col min="10242" max="10250" width="31.42578125" style="180" customWidth="1"/>
    <col min="10251" max="10267" width="36.85546875" style="180" customWidth="1"/>
    <col min="10268" max="10268" width="37" style="180" customWidth="1"/>
    <col min="10269" max="10284" width="36.85546875" style="180" customWidth="1"/>
    <col min="10285" max="10285" width="37.140625" style="180" customWidth="1"/>
    <col min="10286" max="10287" width="36.85546875" style="180" customWidth="1"/>
    <col min="10288" max="10288" width="36.5703125" style="180" customWidth="1"/>
    <col min="10289" max="10290" width="36.85546875" style="180" customWidth="1"/>
    <col min="10291" max="10291" width="36.5703125" style="180" customWidth="1"/>
    <col min="10292" max="10292" width="37" style="180" customWidth="1"/>
    <col min="10293" max="10311" width="36.85546875" style="180" customWidth="1"/>
    <col min="10312" max="10312" width="37" style="180" customWidth="1"/>
    <col min="10313" max="10330" width="36.85546875" style="180" customWidth="1"/>
    <col min="10331" max="10331" width="36.5703125" style="180" customWidth="1"/>
    <col min="10332" max="10344" width="36.85546875" style="180" customWidth="1"/>
    <col min="10345" max="10345" width="36.5703125" style="180" customWidth="1"/>
    <col min="10346" max="10348" width="36.85546875" style="180" customWidth="1"/>
    <col min="10349" max="10349" width="36.5703125" style="180" customWidth="1"/>
    <col min="10350" max="10357" width="36.85546875" style="180" customWidth="1"/>
    <col min="10358" max="10358" width="36.5703125" style="180" customWidth="1"/>
    <col min="10359" max="10496" width="36.85546875" style="180"/>
    <col min="10497" max="10497" width="18.5703125" style="180" customWidth="1"/>
    <col min="10498" max="10506" width="31.42578125" style="180" customWidth="1"/>
    <col min="10507" max="10523" width="36.85546875" style="180" customWidth="1"/>
    <col min="10524" max="10524" width="37" style="180" customWidth="1"/>
    <col min="10525" max="10540" width="36.85546875" style="180" customWidth="1"/>
    <col min="10541" max="10541" width="37.140625" style="180" customWidth="1"/>
    <col min="10542" max="10543" width="36.85546875" style="180" customWidth="1"/>
    <col min="10544" max="10544" width="36.5703125" style="180" customWidth="1"/>
    <col min="10545" max="10546" width="36.85546875" style="180" customWidth="1"/>
    <col min="10547" max="10547" width="36.5703125" style="180" customWidth="1"/>
    <col min="10548" max="10548" width="37" style="180" customWidth="1"/>
    <col min="10549" max="10567" width="36.85546875" style="180" customWidth="1"/>
    <col min="10568" max="10568" width="37" style="180" customWidth="1"/>
    <col min="10569" max="10586" width="36.85546875" style="180" customWidth="1"/>
    <col min="10587" max="10587" width="36.5703125" style="180" customWidth="1"/>
    <col min="10588" max="10600" width="36.85546875" style="180" customWidth="1"/>
    <col min="10601" max="10601" width="36.5703125" style="180" customWidth="1"/>
    <col min="10602" max="10604" width="36.85546875" style="180" customWidth="1"/>
    <col min="10605" max="10605" width="36.5703125" style="180" customWidth="1"/>
    <col min="10606" max="10613" width="36.85546875" style="180" customWidth="1"/>
    <col min="10614" max="10614" width="36.5703125" style="180" customWidth="1"/>
    <col min="10615" max="10752" width="36.85546875" style="180"/>
    <col min="10753" max="10753" width="18.5703125" style="180" customWidth="1"/>
    <col min="10754" max="10762" width="31.42578125" style="180" customWidth="1"/>
    <col min="10763" max="10779" width="36.85546875" style="180" customWidth="1"/>
    <col min="10780" max="10780" width="37" style="180" customWidth="1"/>
    <col min="10781" max="10796" width="36.85546875" style="180" customWidth="1"/>
    <col min="10797" max="10797" width="37.140625" style="180" customWidth="1"/>
    <col min="10798" max="10799" width="36.85546875" style="180" customWidth="1"/>
    <col min="10800" max="10800" width="36.5703125" style="180" customWidth="1"/>
    <col min="10801" max="10802" width="36.85546875" style="180" customWidth="1"/>
    <col min="10803" max="10803" width="36.5703125" style="180" customWidth="1"/>
    <col min="10804" max="10804" width="37" style="180" customWidth="1"/>
    <col min="10805" max="10823" width="36.85546875" style="180" customWidth="1"/>
    <col min="10824" max="10824" width="37" style="180" customWidth="1"/>
    <col min="10825" max="10842" width="36.85546875" style="180" customWidth="1"/>
    <col min="10843" max="10843" width="36.5703125" style="180" customWidth="1"/>
    <col min="10844" max="10856" width="36.85546875" style="180" customWidth="1"/>
    <col min="10857" max="10857" width="36.5703125" style="180" customWidth="1"/>
    <col min="10858" max="10860" width="36.85546875" style="180" customWidth="1"/>
    <col min="10861" max="10861" width="36.5703125" style="180" customWidth="1"/>
    <col min="10862" max="10869" width="36.85546875" style="180" customWidth="1"/>
    <col min="10870" max="10870" width="36.5703125" style="180" customWidth="1"/>
    <col min="10871" max="11008" width="36.85546875" style="180"/>
    <col min="11009" max="11009" width="18.5703125" style="180" customWidth="1"/>
    <col min="11010" max="11018" width="31.42578125" style="180" customWidth="1"/>
    <col min="11019" max="11035" width="36.85546875" style="180" customWidth="1"/>
    <col min="11036" max="11036" width="37" style="180" customWidth="1"/>
    <col min="11037" max="11052" width="36.85546875" style="180" customWidth="1"/>
    <col min="11053" max="11053" width="37.140625" style="180" customWidth="1"/>
    <col min="11054" max="11055" width="36.85546875" style="180" customWidth="1"/>
    <col min="11056" max="11056" width="36.5703125" style="180" customWidth="1"/>
    <col min="11057" max="11058" width="36.85546875" style="180" customWidth="1"/>
    <col min="11059" max="11059" width="36.5703125" style="180" customWidth="1"/>
    <col min="11060" max="11060" width="37" style="180" customWidth="1"/>
    <col min="11061" max="11079" width="36.85546875" style="180" customWidth="1"/>
    <col min="11080" max="11080" width="37" style="180" customWidth="1"/>
    <col min="11081" max="11098" width="36.85546875" style="180" customWidth="1"/>
    <col min="11099" max="11099" width="36.5703125" style="180" customWidth="1"/>
    <col min="11100" max="11112" width="36.85546875" style="180" customWidth="1"/>
    <col min="11113" max="11113" width="36.5703125" style="180" customWidth="1"/>
    <col min="11114" max="11116" width="36.85546875" style="180" customWidth="1"/>
    <col min="11117" max="11117" width="36.5703125" style="180" customWidth="1"/>
    <col min="11118" max="11125" width="36.85546875" style="180" customWidth="1"/>
    <col min="11126" max="11126" width="36.5703125" style="180" customWidth="1"/>
    <col min="11127" max="11264" width="36.85546875" style="180"/>
    <col min="11265" max="11265" width="18.5703125" style="180" customWidth="1"/>
    <col min="11266" max="11274" width="31.42578125" style="180" customWidth="1"/>
    <col min="11275" max="11291" width="36.85546875" style="180" customWidth="1"/>
    <col min="11292" max="11292" width="37" style="180" customWidth="1"/>
    <col min="11293" max="11308" width="36.85546875" style="180" customWidth="1"/>
    <col min="11309" max="11309" width="37.140625" style="180" customWidth="1"/>
    <col min="11310" max="11311" width="36.85546875" style="180" customWidth="1"/>
    <col min="11312" max="11312" width="36.5703125" style="180" customWidth="1"/>
    <col min="11313" max="11314" width="36.85546875" style="180" customWidth="1"/>
    <col min="11315" max="11315" width="36.5703125" style="180" customWidth="1"/>
    <col min="11316" max="11316" width="37" style="180" customWidth="1"/>
    <col min="11317" max="11335" width="36.85546875" style="180" customWidth="1"/>
    <col min="11336" max="11336" width="37" style="180" customWidth="1"/>
    <col min="11337" max="11354" width="36.85546875" style="180" customWidth="1"/>
    <col min="11355" max="11355" width="36.5703125" style="180" customWidth="1"/>
    <col min="11356" max="11368" width="36.85546875" style="180" customWidth="1"/>
    <col min="11369" max="11369" width="36.5703125" style="180" customWidth="1"/>
    <col min="11370" max="11372" width="36.85546875" style="180" customWidth="1"/>
    <col min="11373" max="11373" width="36.5703125" style="180" customWidth="1"/>
    <col min="11374" max="11381" width="36.85546875" style="180" customWidth="1"/>
    <col min="11382" max="11382" width="36.5703125" style="180" customWidth="1"/>
    <col min="11383" max="11520" width="36.85546875" style="180"/>
    <col min="11521" max="11521" width="18.5703125" style="180" customWidth="1"/>
    <col min="11522" max="11530" width="31.42578125" style="180" customWidth="1"/>
    <col min="11531" max="11547" width="36.85546875" style="180" customWidth="1"/>
    <col min="11548" max="11548" width="37" style="180" customWidth="1"/>
    <col min="11549" max="11564" width="36.85546875" style="180" customWidth="1"/>
    <col min="11565" max="11565" width="37.140625" style="180" customWidth="1"/>
    <col min="11566" max="11567" width="36.85546875" style="180" customWidth="1"/>
    <col min="11568" max="11568" width="36.5703125" style="180" customWidth="1"/>
    <col min="11569" max="11570" width="36.85546875" style="180" customWidth="1"/>
    <col min="11571" max="11571" width="36.5703125" style="180" customWidth="1"/>
    <col min="11572" max="11572" width="37" style="180" customWidth="1"/>
    <col min="11573" max="11591" width="36.85546875" style="180" customWidth="1"/>
    <col min="11592" max="11592" width="37" style="180" customWidth="1"/>
    <col min="11593" max="11610" width="36.85546875" style="180" customWidth="1"/>
    <col min="11611" max="11611" width="36.5703125" style="180" customWidth="1"/>
    <col min="11612" max="11624" width="36.85546875" style="180" customWidth="1"/>
    <col min="11625" max="11625" width="36.5703125" style="180" customWidth="1"/>
    <col min="11626" max="11628" width="36.85546875" style="180" customWidth="1"/>
    <col min="11629" max="11629" width="36.5703125" style="180" customWidth="1"/>
    <col min="11630" max="11637" width="36.85546875" style="180" customWidth="1"/>
    <col min="11638" max="11638" width="36.5703125" style="180" customWidth="1"/>
    <col min="11639" max="11776" width="36.85546875" style="180"/>
    <col min="11777" max="11777" width="18.5703125" style="180" customWidth="1"/>
    <col min="11778" max="11786" width="31.42578125" style="180" customWidth="1"/>
    <col min="11787" max="11803" width="36.85546875" style="180" customWidth="1"/>
    <col min="11804" max="11804" width="37" style="180" customWidth="1"/>
    <col min="11805" max="11820" width="36.85546875" style="180" customWidth="1"/>
    <col min="11821" max="11821" width="37.140625" style="180" customWidth="1"/>
    <col min="11822" max="11823" width="36.85546875" style="180" customWidth="1"/>
    <col min="11824" max="11824" width="36.5703125" style="180" customWidth="1"/>
    <col min="11825" max="11826" width="36.85546875" style="180" customWidth="1"/>
    <col min="11827" max="11827" width="36.5703125" style="180" customWidth="1"/>
    <col min="11828" max="11828" width="37" style="180" customWidth="1"/>
    <col min="11829" max="11847" width="36.85546875" style="180" customWidth="1"/>
    <col min="11848" max="11848" width="37" style="180" customWidth="1"/>
    <col min="11849" max="11866" width="36.85546875" style="180" customWidth="1"/>
    <col min="11867" max="11867" width="36.5703125" style="180" customWidth="1"/>
    <col min="11868" max="11880" width="36.85546875" style="180" customWidth="1"/>
    <col min="11881" max="11881" width="36.5703125" style="180" customWidth="1"/>
    <col min="11882" max="11884" width="36.85546875" style="180" customWidth="1"/>
    <col min="11885" max="11885" width="36.5703125" style="180" customWidth="1"/>
    <col min="11886" max="11893" width="36.85546875" style="180" customWidth="1"/>
    <col min="11894" max="11894" width="36.5703125" style="180" customWidth="1"/>
    <col min="11895" max="12032" width="36.85546875" style="180"/>
    <col min="12033" max="12033" width="18.5703125" style="180" customWidth="1"/>
    <col min="12034" max="12042" width="31.42578125" style="180" customWidth="1"/>
    <col min="12043" max="12059" width="36.85546875" style="180" customWidth="1"/>
    <col min="12060" max="12060" width="37" style="180" customWidth="1"/>
    <col min="12061" max="12076" width="36.85546875" style="180" customWidth="1"/>
    <col min="12077" max="12077" width="37.140625" style="180" customWidth="1"/>
    <col min="12078" max="12079" width="36.85546875" style="180" customWidth="1"/>
    <col min="12080" max="12080" width="36.5703125" style="180" customWidth="1"/>
    <col min="12081" max="12082" width="36.85546875" style="180" customWidth="1"/>
    <col min="12083" max="12083" width="36.5703125" style="180" customWidth="1"/>
    <col min="12084" max="12084" width="37" style="180" customWidth="1"/>
    <col min="12085" max="12103" width="36.85546875" style="180" customWidth="1"/>
    <col min="12104" max="12104" width="37" style="180" customWidth="1"/>
    <col min="12105" max="12122" width="36.85546875" style="180" customWidth="1"/>
    <col min="12123" max="12123" width="36.5703125" style="180" customWidth="1"/>
    <col min="12124" max="12136" width="36.85546875" style="180" customWidth="1"/>
    <col min="12137" max="12137" width="36.5703125" style="180" customWidth="1"/>
    <col min="12138" max="12140" width="36.85546875" style="180" customWidth="1"/>
    <col min="12141" max="12141" width="36.5703125" style="180" customWidth="1"/>
    <col min="12142" max="12149" width="36.85546875" style="180" customWidth="1"/>
    <col min="12150" max="12150" width="36.5703125" style="180" customWidth="1"/>
    <col min="12151" max="12288" width="36.85546875" style="180"/>
    <col min="12289" max="12289" width="18.5703125" style="180" customWidth="1"/>
    <col min="12290" max="12298" width="31.42578125" style="180" customWidth="1"/>
    <col min="12299" max="12315" width="36.85546875" style="180" customWidth="1"/>
    <col min="12316" max="12316" width="37" style="180" customWidth="1"/>
    <col min="12317" max="12332" width="36.85546875" style="180" customWidth="1"/>
    <col min="12333" max="12333" width="37.140625" style="180" customWidth="1"/>
    <col min="12334" max="12335" width="36.85546875" style="180" customWidth="1"/>
    <col min="12336" max="12336" width="36.5703125" style="180" customWidth="1"/>
    <col min="12337" max="12338" width="36.85546875" style="180" customWidth="1"/>
    <col min="12339" max="12339" width="36.5703125" style="180" customWidth="1"/>
    <col min="12340" max="12340" width="37" style="180" customWidth="1"/>
    <col min="12341" max="12359" width="36.85546875" style="180" customWidth="1"/>
    <col min="12360" max="12360" width="37" style="180" customWidth="1"/>
    <col min="12361" max="12378" width="36.85546875" style="180" customWidth="1"/>
    <col min="12379" max="12379" width="36.5703125" style="180" customWidth="1"/>
    <col min="12380" max="12392" width="36.85546875" style="180" customWidth="1"/>
    <col min="12393" max="12393" width="36.5703125" style="180" customWidth="1"/>
    <col min="12394" max="12396" width="36.85546875" style="180" customWidth="1"/>
    <col min="12397" max="12397" width="36.5703125" style="180" customWidth="1"/>
    <col min="12398" max="12405" width="36.85546875" style="180" customWidth="1"/>
    <col min="12406" max="12406" width="36.5703125" style="180" customWidth="1"/>
    <col min="12407" max="12544" width="36.85546875" style="180"/>
    <col min="12545" max="12545" width="18.5703125" style="180" customWidth="1"/>
    <col min="12546" max="12554" width="31.42578125" style="180" customWidth="1"/>
    <col min="12555" max="12571" width="36.85546875" style="180" customWidth="1"/>
    <col min="12572" max="12572" width="37" style="180" customWidth="1"/>
    <col min="12573" max="12588" width="36.85546875" style="180" customWidth="1"/>
    <col min="12589" max="12589" width="37.140625" style="180" customWidth="1"/>
    <col min="12590" max="12591" width="36.85546875" style="180" customWidth="1"/>
    <col min="12592" max="12592" width="36.5703125" style="180" customWidth="1"/>
    <col min="12593" max="12594" width="36.85546875" style="180" customWidth="1"/>
    <col min="12595" max="12595" width="36.5703125" style="180" customWidth="1"/>
    <col min="12596" max="12596" width="37" style="180" customWidth="1"/>
    <col min="12597" max="12615" width="36.85546875" style="180" customWidth="1"/>
    <col min="12616" max="12616" width="37" style="180" customWidth="1"/>
    <col min="12617" max="12634" width="36.85546875" style="180" customWidth="1"/>
    <col min="12635" max="12635" width="36.5703125" style="180" customWidth="1"/>
    <col min="12636" max="12648" width="36.85546875" style="180" customWidth="1"/>
    <col min="12649" max="12649" width="36.5703125" style="180" customWidth="1"/>
    <col min="12650" max="12652" width="36.85546875" style="180" customWidth="1"/>
    <col min="12653" max="12653" width="36.5703125" style="180" customWidth="1"/>
    <col min="12654" max="12661" width="36.85546875" style="180" customWidth="1"/>
    <col min="12662" max="12662" width="36.5703125" style="180" customWidth="1"/>
    <col min="12663" max="12800" width="36.85546875" style="180"/>
    <col min="12801" max="12801" width="18.5703125" style="180" customWidth="1"/>
    <col min="12802" max="12810" width="31.42578125" style="180" customWidth="1"/>
    <col min="12811" max="12827" width="36.85546875" style="180" customWidth="1"/>
    <col min="12828" max="12828" width="37" style="180" customWidth="1"/>
    <col min="12829" max="12844" width="36.85546875" style="180" customWidth="1"/>
    <col min="12845" max="12845" width="37.140625" style="180" customWidth="1"/>
    <col min="12846" max="12847" width="36.85546875" style="180" customWidth="1"/>
    <col min="12848" max="12848" width="36.5703125" style="180" customWidth="1"/>
    <col min="12849" max="12850" width="36.85546875" style="180" customWidth="1"/>
    <col min="12851" max="12851" width="36.5703125" style="180" customWidth="1"/>
    <col min="12852" max="12852" width="37" style="180" customWidth="1"/>
    <col min="12853" max="12871" width="36.85546875" style="180" customWidth="1"/>
    <col min="12872" max="12872" width="37" style="180" customWidth="1"/>
    <col min="12873" max="12890" width="36.85546875" style="180" customWidth="1"/>
    <col min="12891" max="12891" width="36.5703125" style="180" customWidth="1"/>
    <col min="12892" max="12904" width="36.85546875" style="180" customWidth="1"/>
    <col min="12905" max="12905" width="36.5703125" style="180" customWidth="1"/>
    <col min="12906" max="12908" width="36.85546875" style="180" customWidth="1"/>
    <col min="12909" max="12909" width="36.5703125" style="180" customWidth="1"/>
    <col min="12910" max="12917" width="36.85546875" style="180" customWidth="1"/>
    <col min="12918" max="12918" width="36.5703125" style="180" customWidth="1"/>
    <col min="12919" max="13056" width="36.85546875" style="180"/>
    <col min="13057" max="13057" width="18.5703125" style="180" customWidth="1"/>
    <col min="13058" max="13066" width="31.42578125" style="180" customWidth="1"/>
    <col min="13067" max="13083" width="36.85546875" style="180" customWidth="1"/>
    <col min="13084" max="13084" width="37" style="180" customWidth="1"/>
    <col min="13085" max="13100" width="36.85546875" style="180" customWidth="1"/>
    <col min="13101" max="13101" width="37.140625" style="180" customWidth="1"/>
    <col min="13102" max="13103" width="36.85546875" style="180" customWidth="1"/>
    <col min="13104" max="13104" width="36.5703125" style="180" customWidth="1"/>
    <col min="13105" max="13106" width="36.85546875" style="180" customWidth="1"/>
    <col min="13107" max="13107" width="36.5703125" style="180" customWidth="1"/>
    <col min="13108" max="13108" width="37" style="180" customWidth="1"/>
    <col min="13109" max="13127" width="36.85546875" style="180" customWidth="1"/>
    <col min="13128" max="13128" width="37" style="180" customWidth="1"/>
    <col min="13129" max="13146" width="36.85546875" style="180" customWidth="1"/>
    <col min="13147" max="13147" width="36.5703125" style="180" customWidth="1"/>
    <col min="13148" max="13160" width="36.85546875" style="180" customWidth="1"/>
    <col min="13161" max="13161" width="36.5703125" style="180" customWidth="1"/>
    <col min="13162" max="13164" width="36.85546875" style="180" customWidth="1"/>
    <col min="13165" max="13165" width="36.5703125" style="180" customWidth="1"/>
    <col min="13166" max="13173" width="36.85546875" style="180" customWidth="1"/>
    <col min="13174" max="13174" width="36.5703125" style="180" customWidth="1"/>
    <col min="13175" max="13312" width="36.85546875" style="180"/>
    <col min="13313" max="13313" width="18.5703125" style="180" customWidth="1"/>
    <col min="13314" max="13322" width="31.42578125" style="180" customWidth="1"/>
    <col min="13323" max="13339" width="36.85546875" style="180" customWidth="1"/>
    <col min="13340" max="13340" width="37" style="180" customWidth="1"/>
    <col min="13341" max="13356" width="36.85546875" style="180" customWidth="1"/>
    <col min="13357" max="13357" width="37.140625" style="180" customWidth="1"/>
    <col min="13358" max="13359" width="36.85546875" style="180" customWidth="1"/>
    <col min="13360" max="13360" width="36.5703125" style="180" customWidth="1"/>
    <col min="13361" max="13362" width="36.85546875" style="180" customWidth="1"/>
    <col min="13363" max="13363" width="36.5703125" style="180" customWidth="1"/>
    <col min="13364" max="13364" width="37" style="180" customWidth="1"/>
    <col min="13365" max="13383" width="36.85546875" style="180" customWidth="1"/>
    <col min="13384" max="13384" width="37" style="180" customWidth="1"/>
    <col min="13385" max="13402" width="36.85546875" style="180" customWidth="1"/>
    <col min="13403" max="13403" width="36.5703125" style="180" customWidth="1"/>
    <col min="13404" max="13416" width="36.85546875" style="180" customWidth="1"/>
    <col min="13417" max="13417" width="36.5703125" style="180" customWidth="1"/>
    <col min="13418" max="13420" width="36.85546875" style="180" customWidth="1"/>
    <col min="13421" max="13421" width="36.5703125" style="180" customWidth="1"/>
    <col min="13422" max="13429" width="36.85546875" style="180" customWidth="1"/>
    <col min="13430" max="13430" width="36.5703125" style="180" customWidth="1"/>
    <col min="13431" max="13568" width="36.85546875" style="180"/>
    <col min="13569" max="13569" width="18.5703125" style="180" customWidth="1"/>
    <col min="13570" max="13578" width="31.42578125" style="180" customWidth="1"/>
    <col min="13579" max="13595" width="36.85546875" style="180" customWidth="1"/>
    <col min="13596" max="13596" width="37" style="180" customWidth="1"/>
    <col min="13597" max="13612" width="36.85546875" style="180" customWidth="1"/>
    <col min="13613" max="13613" width="37.140625" style="180" customWidth="1"/>
    <col min="13614" max="13615" width="36.85546875" style="180" customWidth="1"/>
    <col min="13616" max="13616" width="36.5703125" style="180" customWidth="1"/>
    <col min="13617" max="13618" width="36.85546875" style="180" customWidth="1"/>
    <col min="13619" max="13619" width="36.5703125" style="180" customWidth="1"/>
    <col min="13620" max="13620" width="37" style="180" customWidth="1"/>
    <col min="13621" max="13639" width="36.85546875" style="180" customWidth="1"/>
    <col min="13640" max="13640" width="37" style="180" customWidth="1"/>
    <col min="13641" max="13658" width="36.85546875" style="180" customWidth="1"/>
    <col min="13659" max="13659" width="36.5703125" style="180" customWidth="1"/>
    <col min="13660" max="13672" width="36.85546875" style="180" customWidth="1"/>
    <col min="13673" max="13673" width="36.5703125" style="180" customWidth="1"/>
    <col min="13674" max="13676" width="36.85546875" style="180" customWidth="1"/>
    <col min="13677" max="13677" width="36.5703125" style="180" customWidth="1"/>
    <col min="13678" max="13685" width="36.85546875" style="180" customWidth="1"/>
    <col min="13686" max="13686" width="36.5703125" style="180" customWidth="1"/>
    <col min="13687" max="13824" width="36.85546875" style="180"/>
    <col min="13825" max="13825" width="18.5703125" style="180" customWidth="1"/>
    <col min="13826" max="13834" width="31.42578125" style="180" customWidth="1"/>
    <col min="13835" max="13851" width="36.85546875" style="180" customWidth="1"/>
    <col min="13852" max="13852" width="37" style="180" customWidth="1"/>
    <col min="13853" max="13868" width="36.85546875" style="180" customWidth="1"/>
    <col min="13869" max="13869" width="37.140625" style="180" customWidth="1"/>
    <col min="13870" max="13871" width="36.85546875" style="180" customWidth="1"/>
    <col min="13872" max="13872" width="36.5703125" style="180" customWidth="1"/>
    <col min="13873" max="13874" width="36.85546875" style="180" customWidth="1"/>
    <col min="13875" max="13875" width="36.5703125" style="180" customWidth="1"/>
    <col min="13876" max="13876" width="37" style="180" customWidth="1"/>
    <col min="13877" max="13895" width="36.85546875" style="180" customWidth="1"/>
    <col min="13896" max="13896" width="37" style="180" customWidth="1"/>
    <col min="13897" max="13914" width="36.85546875" style="180" customWidth="1"/>
    <col min="13915" max="13915" width="36.5703125" style="180" customWidth="1"/>
    <col min="13916" max="13928" width="36.85546875" style="180" customWidth="1"/>
    <col min="13929" max="13929" width="36.5703125" style="180" customWidth="1"/>
    <col min="13930" max="13932" width="36.85546875" style="180" customWidth="1"/>
    <col min="13933" max="13933" width="36.5703125" style="180" customWidth="1"/>
    <col min="13934" max="13941" width="36.85546875" style="180" customWidth="1"/>
    <col min="13942" max="13942" width="36.5703125" style="180" customWidth="1"/>
    <col min="13943" max="14080" width="36.85546875" style="180"/>
    <col min="14081" max="14081" width="18.5703125" style="180" customWidth="1"/>
    <col min="14082" max="14090" width="31.42578125" style="180" customWidth="1"/>
    <col min="14091" max="14107" width="36.85546875" style="180" customWidth="1"/>
    <col min="14108" max="14108" width="37" style="180" customWidth="1"/>
    <col min="14109" max="14124" width="36.85546875" style="180" customWidth="1"/>
    <col min="14125" max="14125" width="37.140625" style="180" customWidth="1"/>
    <col min="14126" max="14127" width="36.85546875" style="180" customWidth="1"/>
    <col min="14128" max="14128" width="36.5703125" style="180" customWidth="1"/>
    <col min="14129" max="14130" width="36.85546875" style="180" customWidth="1"/>
    <col min="14131" max="14131" width="36.5703125" style="180" customWidth="1"/>
    <col min="14132" max="14132" width="37" style="180" customWidth="1"/>
    <col min="14133" max="14151" width="36.85546875" style="180" customWidth="1"/>
    <col min="14152" max="14152" width="37" style="180" customWidth="1"/>
    <col min="14153" max="14170" width="36.85546875" style="180" customWidth="1"/>
    <col min="14171" max="14171" width="36.5703125" style="180" customWidth="1"/>
    <col min="14172" max="14184" width="36.85546875" style="180" customWidth="1"/>
    <col min="14185" max="14185" width="36.5703125" style="180" customWidth="1"/>
    <col min="14186" max="14188" width="36.85546875" style="180" customWidth="1"/>
    <col min="14189" max="14189" width="36.5703125" style="180" customWidth="1"/>
    <col min="14190" max="14197" width="36.85546875" style="180" customWidth="1"/>
    <col min="14198" max="14198" width="36.5703125" style="180" customWidth="1"/>
    <col min="14199" max="14336" width="36.85546875" style="180"/>
    <col min="14337" max="14337" width="18.5703125" style="180" customWidth="1"/>
    <col min="14338" max="14346" width="31.42578125" style="180" customWidth="1"/>
    <col min="14347" max="14363" width="36.85546875" style="180" customWidth="1"/>
    <col min="14364" max="14364" width="37" style="180" customWidth="1"/>
    <col min="14365" max="14380" width="36.85546875" style="180" customWidth="1"/>
    <col min="14381" max="14381" width="37.140625" style="180" customWidth="1"/>
    <col min="14382" max="14383" width="36.85546875" style="180" customWidth="1"/>
    <col min="14384" max="14384" width="36.5703125" style="180" customWidth="1"/>
    <col min="14385" max="14386" width="36.85546875" style="180" customWidth="1"/>
    <col min="14387" max="14387" width="36.5703125" style="180" customWidth="1"/>
    <col min="14388" max="14388" width="37" style="180" customWidth="1"/>
    <col min="14389" max="14407" width="36.85546875" style="180" customWidth="1"/>
    <col min="14408" max="14408" width="37" style="180" customWidth="1"/>
    <col min="14409" max="14426" width="36.85546875" style="180" customWidth="1"/>
    <col min="14427" max="14427" width="36.5703125" style="180" customWidth="1"/>
    <col min="14428" max="14440" width="36.85546875" style="180" customWidth="1"/>
    <col min="14441" max="14441" width="36.5703125" style="180" customWidth="1"/>
    <col min="14442" max="14444" width="36.85546875" style="180" customWidth="1"/>
    <col min="14445" max="14445" width="36.5703125" style="180" customWidth="1"/>
    <col min="14446" max="14453" width="36.85546875" style="180" customWidth="1"/>
    <col min="14454" max="14454" width="36.5703125" style="180" customWidth="1"/>
    <col min="14455" max="14592" width="36.85546875" style="180"/>
    <col min="14593" max="14593" width="18.5703125" style="180" customWidth="1"/>
    <col min="14594" max="14602" width="31.42578125" style="180" customWidth="1"/>
    <col min="14603" max="14619" width="36.85546875" style="180" customWidth="1"/>
    <col min="14620" max="14620" width="37" style="180" customWidth="1"/>
    <col min="14621" max="14636" width="36.85546875" style="180" customWidth="1"/>
    <col min="14637" max="14637" width="37.140625" style="180" customWidth="1"/>
    <col min="14638" max="14639" width="36.85546875" style="180" customWidth="1"/>
    <col min="14640" max="14640" width="36.5703125" style="180" customWidth="1"/>
    <col min="14641" max="14642" width="36.85546875" style="180" customWidth="1"/>
    <col min="14643" max="14643" width="36.5703125" style="180" customWidth="1"/>
    <col min="14644" max="14644" width="37" style="180" customWidth="1"/>
    <col min="14645" max="14663" width="36.85546875" style="180" customWidth="1"/>
    <col min="14664" max="14664" width="37" style="180" customWidth="1"/>
    <col min="14665" max="14682" width="36.85546875" style="180" customWidth="1"/>
    <col min="14683" max="14683" width="36.5703125" style="180" customWidth="1"/>
    <col min="14684" max="14696" width="36.85546875" style="180" customWidth="1"/>
    <col min="14697" max="14697" width="36.5703125" style="180" customWidth="1"/>
    <col min="14698" max="14700" width="36.85546875" style="180" customWidth="1"/>
    <col min="14701" max="14701" width="36.5703125" style="180" customWidth="1"/>
    <col min="14702" max="14709" width="36.85546875" style="180" customWidth="1"/>
    <col min="14710" max="14710" width="36.5703125" style="180" customWidth="1"/>
    <col min="14711" max="14848" width="36.85546875" style="180"/>
    <col min="14849" max="14849" width="18.5703125" style="180" customWidth="1"/>
    <col min="14850" max="14858" width="31.42578125" style="180" customWidth="1"/>
    <col min="14859" max="14875" width="36.85546875" style="180" customWidth="1"/>
    <col min="14876" max="14876" width="37" style="180" customWidth="1"/>
    <col min="14877" max="14892" width="36.85546875" style="180" customWidth="1"/>
    <col min="14893" max="14893" width="37.140625" style="180" customWidth="1"/>
    <col min="14894" max="14895" width="36.85546875" style="180" customWidth="1"/>
    <col min="14896" max="14896" width="36.5703125" style="180" customWidth="1"/>
    <col min="14897" max="14898" width="36.85546875" style="180" customWidth="1"/>
    <col min="14899" max="14899" width="36.5703125" style="180" customWidth="1"/>
    <col min="14900" max="14900" width="37" style="180" customWidth="1"/>
    <col min="14901" max="14919" width="36.85546875" style="180" customWidth="1"/>
    <col min="14920" max="14920" width="37" style="180" customWidth="1"/>
    <col min="14921" max="14938" width="36.85546875" style="180" customWidth="1"/>
    <col min="14939" max="14939" width="36.5703125" style="180" customWidth="1"/>
    <col min="14940" max="14952" width="36.85546875" style="180" customWidth="1"/>
    <col min="14953" max="14953" width="36.5703125" style="180" customWidth="1"/>
    <col min="14954" max="14956" width="36.85546875" style="180" customWidth="1"/>
    <col min="14957" max="14957" width="36.5703125" style="180" customWidth="1"/>
    <col min="14958" max="14965" width="36.85546875" style="180" customWidth="1"/>
    <col min="14966" max="14966" width="36.5703125" style="180" customWidth="1"/>
    <col min="14967" max="15104" width="36.85546875" style="180"/>
    <col min="15105" max="15105" width="18.5703125" style="180" customWidth="1"/>
    <col min="15106" max="15114" width="31.42578125" style="180" customWidth="1"/>
    <col min="15115" max="15131" width="36.85546875" style="180" customWidth="1"/>
    <col min="15132" max="15132" width="37" style="180" customWidth="1"/>
    <col min="15133" max="15148" width="36.85546875" style="180" customWidth="1"/>
    <col min="15149" max="15149" width="37.140625" style="180" customWidth="1"/>
    <col min="15150" max="15151" width="36.85546875" style="180" customWidth="1"/>
    <col min="15152" max="15152" width="36.5703125" style="180" customWidth="1"/>
    <col min="15153" max="15154" width="36.85546875" style="180" customWidth="1"/>
    <col min="15155" max="15155" width="36.5703125" style="180" customWidth="1"/>
    <col min="15156" max="15156" width="37" style="180" customWidth="1"/>
    <col min="15157" max="15175" width="36.85546875" style="180" customWidth="1"/>
    <col min="15176" max="15176" width="37" style="180" customWidth="1"/>
    <col min="15177" max="15194" width="36.85546875" style="180" customWidth="1"/>
    <col min="15195" max="15195" width="36.5703125" style="180" customWidth="1"/>
    <col min="15196" max="15208" width="36.85546875" style="180" customWidth="1"/>
    <col min="15209" max="15209" width="36.5703125" style="180" customWidth="1"/>
    <col min="15210" max="15212" width="36.85546875" style="180" customWidth="1"/>
    <col min="15213" max="15213" width="36.5703125" style="180" customWidth="1"/>
    <col min="15214" max="15221" width="36.85546875" style="180" customWidth="1"/>
    <col min="15222" max="15222" width="36.5703125" style="180" customWidth="1"/>
    <col min="15223" max="15360" width="36.85546875" style="180"/>
    <col min="15361" max="15361" width="18.5703125" style="180" customWidth="1"/>
    <col min="15362" max="15370" width="31.42578125" style="180" customWidth="1"/>
    <col min="15371" max="15387" width="36.85546875" style="180" customWidth="1"/>
    <col min="15388" max="15388" width="37" style="180" customWidth="1"/>
    <col min="15389" max="15404" width="36.85546875" style="180" customWidth="1"/>
    <col min="15405" max="15405" width="37.140625" style="180" customWidth="1"/>
    <col min="15406" max="15407" width="36.85546875" style="180" customWidth="1"/>
    <col min="15408" max="15408" width="36.5703125" style="180" customWidth="1"/>
    <col min="15409" max="15410" width="36.85546875" style="180" customWidth="1"/>
    <col min="15411" max="15411" width="36.5703125" style="180" customWidth="1"/>
    <col min="15412" max="15412" width="37" style="180" customWidth="1"/>
    <col min="15413" max="15431" width="36.85546875" style="180" customWidth="1"/>
    <col min="15432" max="15432" width="37" style="180" customWidth="1"/>
    <col min="15433" max="15450" width="36.85546875" style="180" customWidth="1"/>
    <col min="15451" max="15451" width="36.5703125" style="180" customWidth="1"/>
    <col min="15452" max="15464" width="36.85546875" style="180" customWidth="1"/>
    <col min="15465" max="15465" width="36.5703125" style="180" customWidth="1"/>
    <col min="15466" max="15468" width="36.85546875" style="180" customWidth="1"/>
    <col min="15469" max="15469" width="36.5703125" style="180" customWidth="1"/>
    <col min="15470" max="15477" width="36.85546875" style="180" customWidth="1"/>
    <col min="15478" max="15478" width="36.5703125" style="180" customWidth="1"/>
    <col min="15479" max="15616" width="36.85546875" style="180"/>
    <col min="15617" max="15617" width="18.5703125" style="180" customWidth="1"/>
    <col min="15618" max="15626" width="31.42578125" style="180" customWidth="1"/>
    <col min="15627" max="15643" width="36.85546875" style="180" customWidth="1"/>
    <col min="15644" max="15644" width="37" style="180" customWidth="1"/>
    <col min="15645" max="15660" width="36.85546875" style="180" customWidth="1"/>
    <col min="15661" max="15661" width="37.140625" style="180" customWidth="1"/>
    <col min="15662" max="15663" width="36.85546875" style="180" customWidth="1"/>
    <col min="15664" max="15664" width="36.5703125" style="180" customWidth="1"/>
    <col min="15665" max="15666" width="36.85546875" style="180" customWidth="1"/>
    <col min="15667" max="15667" width="36.5703125" style="180" customWidth="1"/>
    <col min="15668" max="15668" width="37" style="180" customWidth="1"/>
    <col min="15669" max="15687" width="36.85546875" style="180" customWidth="1"/>
    <col min="15688" max="15688" width="37" style="180" customWidth="1"/>
    <col min="15689" max="15706" width="36.85546875" style="180" customWidth="1"/>
    <col min="15707" max="15707" width="36.5703125" style="180" customWidth="1"/>
    <col min="15708" max="15720" width="36.85546875" style="180" customWidth="1"/>
    <col min="15721" max="15721" width="36.5703125" style="180" customWidth="1"/>
    <col min="15722" max="15724" width="36.85546875" style="180" customWidth="1"/>
    <col min="15725" max="15725" width="36.5703125" style="180" customWidth="1"/>
    <col min="15726" max="15733" width="36.85546875" style="180" customWidth="1"/>
    <col min="15734" max="15734" width="36.5703125" style="180" customWidth="1"/>
    <col min="15735" max="15872" width="36.85546875" style="180"/>
    <col min="15873" max="15873" width="18.5703125" style="180" customWidth="1"/>
    <col min="15874" max="15882" width="31.42578125" style="180" customWidth="1"/>
    <col min="15883" max="15899" width="36.85546875" style="180" customWidth="1"/>
    <col min="15900" max="15900" width="37" style="180" customWidth="1"/>
    <col min="15901" max="15916" width="36.85546875" style="180" customWidth="1"/>
    <col min="15917" max="15917" width="37.140625" style="180" customWidth="1"/>
    <col min="15918" max="15919" width="36.85546875" style="180" customWidth="1"/>
    <col min="15920" max="15920" width="36.5703125" style="180" customWidth="1"/>
    <col min="15921" max="15922" width="36.85546875" style="180" customWidth="1"/>
    <col min="15923" max="15923" width="36.5703125" style="180" customWidth="1"/>
    <col min="15924" max="15924" width="37" style="180" customWidth="1"/>
    <col min="15925" max="15943" width="36.85546875" style="180" customWidth="1"/>
    <col min="15944" max="15944" width="37" style="180" customWidth="1"/>
    <col min="15945" max="15962" width="36.85546875" style="180" customWidth="1"/>
    <col min="15963" max="15963" width="36.5703125" style="180" customWidth="1"/>
    <col min="15964" max="15976" width="36.85546875" style="180" customWidth="1"/>
    <col min="15977" max="15977" width="36.5703125" style="180" customWidth="1"/>
    <col min="15978" max="15980" width="36.85546875" style="180" customWidth="1"/>
    <col min="15981" max="15981" width="36.5703125" style="180" customWidth="1"/>
    <col min="15982" max="15989" width="36.85546875" style="180" customWidth="1"/>
    <col min="15990" max="15990" width="36.5703125" style="180" customWidth="1"/>
    <col min="15991" max="16128" width="36.85546875" style="180"/>
    <col min="16129" max="16129" width="18.5703125" style="180" customWidth="1"/>
    <col min="16130" max="16138" width="31.42578125" style="180" customWidth="1"/>
    <col min="16139" max="16155" width="36.85546875" style="180" customWidth="1"/>
    <col min="16156" max="16156" width="37" style="180" customWidth="1"/>
    <col min="16157" max="16172" width="36.85546875" style="180" customWidth="1"/>
    <col min="16173" max="16173" width="37.140625" style="180" customWidth="1"/>
    <col min="16174" max="16175" width="36.85546875" style="180" customWidth="1"/>
    <col min="16176" max="16176" width="36.5703125" style="180" customWidth="1"/>
    <col min="16177" max="16178" width="36.85546875" style="180" customWidth="1"/>
    <col min="16179" max="16179" width="36.5703125" style="180" customWidth="1"/>
    <col min="16180" max="16180" width="37" style="180" customWidth="1"/>
    <col min="16181" max="16199" width="36.85546875" style="180" customWidth="1"/>
    <col min="16200" max="16200" width="37" style="180" customWidth="1"/>
    <col min="16201" max="16218" width="36.85546875" style="180" customWidth="1"/>
    <col min="16219" max="16219" width="36.5703125" style="180" customWidth="1"/>
    <col min="16220" max="16232" width="36.85546875" style="180" customWidth="1"/>
    <col min="16233" max="16233" width="36.5703125" style="180" customWidth="1"/>
    <col min="16234" max="16236" width="36.85546875" style="180" customWidth="1"/>
    <col min="16237" max="16237" width="36.5703125" style="180" customWidth="1"/>
    <col min="16238" max="16245" width="36.85546875" style="180" customWidth="1"/>
    <col min="16246" max="16246" width="36.5703125" style="180" customWidth="1"/>
    <col min="16247" max="16384" width="36.85546875" style="180"/>
  </cols>
  <sheetData>
    <row r="1" spans="1:245" s="125" customFormat="1" ht="12.75" customHeight="1">
      <c r="A1" s="121" t="s">
        <v>122</v>
      </c>
      <c r="B1" s="122"/>
      <c r="C1" s="123"/>
      <c r="D1" s="123"/>
      <c r="E1" s="123"/>
      <c r="F1" s="123"/>
      <c r="G1" s="123"/>
      <c r="H1" s="123"/>
      <c r="I1" s="123"/>
      <c r="J1" s="123"/>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1:245" s="129" customFormat="1" ht="12.75" customHeight="1">
      <c r="A2" s="126" t="s">
        <v>123</v>
      </c>
      <c r="B2" s="127">
        <v>1</v>
      </c>
      <c r="C2" s="127">
        <v>2</v>
      </c>
      <c r="D2" s="127">
        <v>3</v>
      </c>
      <c r="E2" s="127">
        <v>4</v>
      </c>
      <c r="F2" s="127">
        <v>5</v>
      </c>
      <c r="G2" s="127">
        <v>6</v>
      </c>
      <c r="H2" s="127">
        <v>7</v>
      </c>
      <c r="I2" s="127">
        <v>8</v>
      </c>
      <c r="J2" s="127">
        <v>9</v>
      </c>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8"/>
      <c r="AK2" s="128" t="str">
        <f t="shared" ref="AK2:CV2" si="0">IF(AK3="","",AJ2+1)</f>
        <v/>
      </c>
      <c r="AL2" s="128" t="str">
        <f t="shared" si="0"/>
        <v/>
      </c>
      <c r="AM2" s="128" t="str">
        <f t="shared" si="0"/>
        <v/>
      </c>
      <c r="AN2" s="128" t="str">
        <f t="shared" si="0"/>
        <v/>
      </c>
      <c r="AO2" s="128" t="str">
        <f t="shared" si="0"/>
        <v/>
      </c>
      <c r="AP2" s="128" t="str">
        <f t="shared" si="0"/>
        <v/>
      </c>
      <c r="AQ2" s="128" t="str">
        <f t="shared" si="0"/>
        <v/>
      </c>
      <c r="AR2" s="128" t="str">
        <f t="shared" si="0"/>
        <v/>
      </c>
      <c r="AS2" s="128" t="str">
        <f t="shared" si="0"/>
        <v/>
      </c>
      <c r="AT2" s="128" t="str">
        <f t="shared" si="0"/>
        <v/>
      </c>
      <c r="AU2" s="128" t="str">
        <f t="shared" si="0"/>
        <v/>
      </c>
      <c r="AV2" s="128" t="str">
        <f t="shared" si="0"/>
        <v/>
      </c>
      <c r="AW2" s="128" t="str">
        <f t="shared" si="0"/>
        <v/>
      </c>
      <c r="AX2" s="128" t="str">
        <f t="shared" si="0"/>
        <v/>
      </c>
      <c r="AY2" s="128" t="str">
        <f t="shared" si="0"/>
        <v/>
      </c>
      <c r="AZ2" s="128" t="str">
        <f t="shared" si="0"/>
        <v/>
      </c>
      <c r="BA2" s="128" t="str">
        <f t="shared" si="0"/>
        <v/>
      </c>
      <c r="BB2" s="128" t="str">
        <f t="shared" si="0"/>
        <v/>
      </c>
      <c r="BC2" s="128" t="str">
        <f t="shared" si="0"/>
        <v/>
      </c>
      <c r="BD2" s="128" t="str">
        <f t="shared" si="0"/>
        <v/>
      </c>
      <c r="BE2" s="128" t="str">
        <f t="shared" si="0"/>
        <v/>
      </c>
      <c r="BF2" s="128" t="str">
        <f t="shared" si="0"/>
        <v/>
      </c>
      <c r="BG2" s="128" t="str">
        <f t="shared" si="0"/>
        <v/>
      </c>
      <c r="BH2" s="128" t="str">
        <f t="shared" si="0"/>
        <v/>
      </c>
      <c r="BI2" s="128" t="str">
        <f t="shared" si="0"/>
        <v/>
      </c>
      <c r="BJ2" s="128" t="str">
        <f t="shared" si="0"/>
        <v/>
      </c>
      <c r="BK2" s="128" t="str">
        <f t="shared" si="0"/>
        <v/>
      </c>
      <c r="BL2" s="128" t="str">
        <f t="shared" si="0"/>
        <v/>
      </c>
      <c r="BM2" s="128" t="str">
        <f t="shared" si="0"/>
        <v/>
      </c>
      <c r="BN2" s="128" t="str">
        <f t="shared" si="0"/>
        <v/>
      </c>
      <c r="BO2" s="128" t="str">
        <f t="shared" si="0"/>
        <v/>
      </c>
      <c r="BP2" s="128" t="str">
        <f t="shared" si="0"/>
        <v/>
      </c>
      <c r="BQ2" s="128" t="str">
        <f t="shared" si="0"/>
        <v/>
      </c>
      <c r="BR2" s="128" t="str">
        <f t="shared" si="0"/>
        <v/>
      </c>
      <c r="BS2" s="128" t="str">
        <f t="shared" si="0"/>
        <v/>
      </c>
      <c r="BT2" s="128" t="str">
        <f t="shared" si="0"/>
        <v/>
      </c>
      <c r="BU2" s="128" t="str">
        <f t="shared" si="0"/>
        <v/>
      </c>
      <c r="BV2" s="128" t="str">
        <f t="shared" si="0"/>
        <v/>
      </c>
      <c r="BW2" s="128" t="str">
        <f t="shared" si="0"/>
        <v/>
      </c>
      <c r="BX2" s="128" t="str">
        <f t="shared" si="0"/>
        <v/>
      </c>
      <c r="BY2" s="128" t="str">
        <f t="shared" si="0"/>
        <v/>
      </c>
      <c r="BZ2" s="128" t="str">
        <f t="shared" si="0"/>
        <v/>
      </c>
      <c r="CA2" s="128" t="str">
        <f t="shared" si="0"/>
        <v/>
      </c>
      <c r="CB2" s="128" t="str">
        <f t="shared" si="0"/>
        <v/>
      </c>
      <c r="CC2" s="128" t="str">
        <f t="shared" si="0"/>
        <v/>
      </c>
      <c r="CD2" s="128" t="str">
        <f t="shared" si="0"/>
        <v/>
      </c>
      <c r="CE2" s="128" t="str">
        <f t="shared" si="0"/>
        <v/>
      </c>
      <c r="CF2" s="128" t="str">
        <f t="shared" si="0"/>
        <v/>
      </c>
      <c r="CG2" s="128" t="str">
        <f t="shared" si="0"/>
        <v/>
      </c>
      <c r="CH2" s="128" t="str">
        <f t="shared" si="0"/>
        <v/>
      </c>
      <c r="CI2" s="128" t="str">
        <f t="shared" si="0"/>
        <v/>
      </c>
      <c r="CJ2" s="128" t="str">
        <f t="shared" si="0"/>
        <v/>
      </c>
      <c r="CK2" s="128" t="str">
        <f t="shared" si="0"/>
        <v/>
      </c>
      <c r="CL2" s="128" t="str">
        <f t="shared" si="0"/>
        <v/>
      </c>
      <c r="CM2" s="128" t="str">
        <f t="shared" si="0"/>
        <v/>
      </c>
      <c r="CN2" s="128" t="str">
        <f t="shared" si="0"/>
        <v/>
      </c>
      <c r="CO2" s="128" t="str">
        <f t="shared" si="0"/>
        <v/>
      </c>
      <c r="CP2" s="128" t="str">
        <f t="shared" si="0"/>
        <v/>
      </c>
      <c r="CQ2" s="128" t="str">
        <f t="shared" si="0"/>
        <v/>
      </c>
      <c r="CR2" s="128" t="str">
        <f t="shared" si="0"/>
        <v/>
      </c>
      <c r="CS2" s="128" t="str">
        <f t="shared" si="0"/>
        <v/>
      </c>
      <c r="CT2" s="128" t="str">
        <f t="shared" si="0"/>
        <v/>
      </c>
      <c r="CU2" s="128" t="str">
        <f t="shared" si="0"/>
        <v/>
      </c>
      <c r="CV2" s="128" t="str">
        <f t="shared" si="0"/>
        <v/>
      </c>
      <c r="CW2" s="128" t="str">
        <f t="shared" ref="CW2:FH2" si="1">IF(CW3="","",CV2+1)</f>
        <v/>
      </c>
      <c r="CX2" s="128" t="str">
        <f t="shared" si="1"/>
        <v/>
      </c>
      <c r="CY2" s="128" t="str">
        <f t="shared" si="1"/>
        <v/>
      </c>
      <c r="CZ2" s="128" t="str">
        <f t="shared" si="1"/>
        <v/>
      </c>
      <c r="DA2" s="128" t="str">
        <f t="shared" si="1"/>
        <v/>
      </c>
      <c r="DB2" s="128" t="str">
        <f t="shared" si="1"/>
        <v/>
      </c>
      <c r="DC2" s="128" t="str">
        <f t="shared" si="1"/>
        <v/>
      </c>
      <c r="DD2" s="128" t="str">
        <f t="shared" si="1"/>
        <v/>
      </c>
      <c r="DE2" s="128" t="str">
        <f t="shared" si="1"/>
        <v/>
      </c>
      <c r="DF2" s="128" t="str">
        <f t="shared" si="1"/>
        <v/>
      </c>
      <c r="DG2" s="128" t="str">
        <f t="shared" si="1"/>
        <v/>
      </c>
      <c r="DH2" s="128" t="str">
        <f t="shared" si="1"/>
        <v/>
      </c>
      <c r="DI2" s="128" t="str">
        <f t="shared" si="1"/>
        <v/>
      </c>
      <c r="DJ2" s="128" t="str">
        <f t="shared" si="1"/>
        <v/>
      </c>
      <c r="DK2" s="128" t="str">
        <f t="shared" si="1"/>
        <v/>
      </c>
      <c r="DL2" s="128" t="str">
        <f t="shared" si="1"/>
        <v/>
      </c>
      <c r="DM2" s="128" t="str">
        <f t="shared" si="1"/>
        <v/>
      </c>
      <c r="DN2" s="128" t="str">
        <f t="shared" si="1"/>
        <v/>
      </c>
      <c r="DO2" s="128" t="str">
        <f t="shared" si="1"/>
        <v/>
      </c>
      <c r="DP2" s="128" t="str">
        <f t="shared" si="1"/>
        <v/>
      </c>
      <c r="DQ2" s="128" t="str">
        <f t="shared" si="1"/>
        <v/>
      </c>
      <c r="DR2" s="128" t="str">
        <f t="shared" si="1"/>
        <v/>
      </c>
      <c r="DS2" s="128" t="str">
        <f t="shared" si="1"/>
        <v/>
      </c>
      <c r="DT2" s="128" t="str">
        <f t="shared" si="1"/>
        <v/>
      </c>
      <c r="DU2" s="128" t="str">
        <f t="shared" si="1"/>
        <v/>
      </c>
      <c r="DV2" s="128" t="str">
        <f t="shared" si="1"/>
        <v/>
      </c>
      <c r="DW2" s="128" t="str">
        <f t="shared" si="1"/>
        <v/>
      </c>
      <c r="DX2" s="128" t="str">
        <f t="shared" si="1"/>
        <v/>
      </c>
      <c r="DY2" s="128" t="str">
        <f t="shared" si="1"/>
        <v/>
      </c>
      <c r="DZ2" s="128" t="str">
        <f t="shared" si="1"/>
        <v/>
      </c>
      <c r="EA2" s="128" t="str">
        <f t="shared" si="1"/>
        <v/>
      </c>
      <c r="EB2" s="128" t="str">
        <f t="shared" si="1"/>
        <v/>
      </c>
      <c r="EC2" s="128" t="str">
        <f t="shared" si="1"/>
        <v/>
      </c>
      <c r="ED2" s="128" t="str">
        <f t="shared" si="1"/>
        <v/>
      </c>
      <c r="EE2" s="128" t="str">
        <f t="shared" si="1"/>
        <v/>
      </c>
      <c r="EF2" s="128" t="str">
        <f t="shared" si="1"/>
        <v/>
      </c>
      <c r="EG2" s="128" t="str">
        <f t="shared" si="1"/>
        <v/>
      </c>
      <c r="EH2" s="128" t="str">
        <f t="shared" si="1"/>
        <v/>
      </c>
      <c r="EI2" s="128" t="str">
        <f t="shared" si="1"/>
        <v/>
      </c>
      <c r="EJ2" s="128" t="str">
        <f t="shared" si="1"/>
        <v/>
      </c>
      <c r="EK2" s="128" t="str">
        <f t="shared" si="1"/>
        <v/>
      </c>
      <c r="EL2" s="128" t="str">
        <f t="shared" si="1"/>
        <v/>
      </c>
      <c r="EM2" s="128" t="str">
        <f t="shared" si="1"/>
        <v/>
      </c>
      <c r="EN2" s="128" t="str">
        <f t="shared" si="1"/>
        <v/>
      </c>
      <c r="EO2" s="128" t="str">
        <f t="shared" si="1"/>
        <v/>
      </c>
      <c r="EP2" s="128" t="str">
        <f t="shared" si="1"/>
        <v/>
      </c>
      <c r="EQ2" s="128" t="str">
        <f t="shared" si="1"/>
        <v/>
      </c>
      <c r="ER2" s="128" t="str">
        <f t="shared" si="1"/>
        <v/>
      </c>
      <c r="ES2" s="128" t="str">
        <f t="shared" si="1"/>
        <v/>
      </c>
      <c r="ET2" s="128" t="str">
        <f t="shared" si="1"/>
        <v/>
      </c>
      <c r="EU2" s="128" t="str">
        <f t="shared" si="1"/>
        <v/>
      </c>
      <c r="EV2" s="128" t="str">
        <f t="shared" si="1"/>
        <v/>
      </c>
      <c r="EW2" s="128" t="str">
        <f t="shared" si="1"/>
        <v/>
      </c>
      <c r="EX2" s="128" t="str">
        <f t="shared" si="1"/>
        <v/>
      </c>
      <c r="EY2" s="128" t="str">
        <f t="shared" si="1"/>
        <v/>
      </c>
      <c r="EZ2" s="128" t="str">
        <f t="shared" si="1"/>
        <v/>
      </c>
      <c r="FA2" s="128" t="str">
        <f t="shared" si="1"/>
        <v/>
      </c>
      <c r="FB2" s="128" t="str">
        <f t="shared" si="1"/>
        <v/>
      </c>
      <c r="FC2" s="128" t="str">
        <f t="shared" si="1"/>
        <v/>
      </c>
      <c r="FD2" s="128" t="str">
        <f t="shared" si="1"/>
        <v/>
      </c>
      <c r="FE2" s="128" t="str">
        <f t="shared" si="1"/>
        <v/>
      </c>
      <c r="FF2" s="128" t="str">
        <f t="shared" si="1"/>
        <v/>
      </c>
      <c r="FG2" s="128" t="str">
        <f t="shared" si="1"/>
        <v/>
      </c>
      <c r="FH2" s="128" t="str">
        <f t="shared" si="1"/>
        <v/>
      </c>
      <c r="FI2" s="128" t="str">
        <f t="shared" ref="FI2:HT2" si="2">IF(FI3="","",FH2+1)</f>
        <v/>
      </c>
      <c r="FJ2" s="128" t="str">
        <f t="shared" si="2"/>
        <v/>
      </c>
      <c r="FK2" s="128" t="str">
        <f t="shared" si="2"/>
        <v/>
      </c>
      <c r="FL2" s="128" t="str">
        <f t="shared" si="2"/>
        <v/>
      </c>
      <c r="FM2" s="128" t="str">
        <f t="shared" si="2"/>
        <v/>
      </c>
      <c r="FN2" s="128" t="str">
        <f t="shared" si="2"/>
        <v/>
      </c>
      <c r="FO2" s="128" t="str">
        <f t="shared" si="2"/>
        <v/>
      </c>
      <c r="FP2" s="128" t="str">
        <f t="shared" si="2"/>
        <v/>
      </c>
      <c r="FQ2" s="128" t="str">
        <f t="shared" si="2"/>
        <v/>
      </c>
      <c r="FR2" s="128" t="str">
        <f t="shared" si="2"/>
        <v/>
      </c>
      <c r="FS2" s="128" t="str">
        <f t="shared" si="2"/>
        <v/>
      </c>
      <c r="FT2" s="128" t="str">
        <f t="shared" si="2"/>
        <v/>
      </c>
      <c r="FU2" s="128" t="str">
        <f t="shared" si="2"/>
        <v/>
      </c>
      <c r="FV2" s="128" t="str">
        <f t="shared" si="2"/>
        <v/>
      </c>
      <c r="FW2" s="128" t="str">
        <f t="shared" si="2"/>
        <v/>
      </c>
      <c r="FX2" s="128" t="str">
        <f t="shared" si="2"/>
        <v/>
      </c>
      <c r="FY2" s="128" t="str">
        <f t="shared" si="2"/>
        <v/>
      </c>
      <c r="FZ2" s="128" t="str">
        <f t="shared" si="2"/>
        <v/>
      </c>
      <c r="GA2" s="128" t="str">
        <f t="shared" si="2"/>
        <v/>
      </c>
      <c r="GB2" s="128" t="str">
        <f t="shared" si="2"/>
        <v/>
      </c>
      <c r="GC2" s="128" t="str">
        <f t="shared" si="2"/>
        <v/>
      </c>
      <c r="GD2" s="128" t="str">
        <f t="shared" si="2"/>
        <v/>
      </c>
      <c r="GE2" s="128" t="str">
        <f t="shared" si="2"/>
        <v/>
      </c>
      <c r="GF2" s="128" t="str">
        <f t="shared" si="2"/>
        <v/>
      </c>
      <c r="GG2" s="128" t="str">
        <f t="shared" si="2"/>
        <v/>
      </c>
      <c r="GH2" s="128" t="str">
        <f t="shared" si="2"/>
        <v/>
      </c>
      <c r="GI2" s="128" t="str">
        <f t="shared" si="2"/>
        <v/>
      </c>
      <c r="GJ2" s="128" t="str">
        <f t="shared" si="2"/>
        <v/>
      </c>
      <c r="GK2" s="128" t="str">
        <f t="shared" si="2"/>
        <v/>
      </c>
      <c r="GL2" s="128" t="str">
        <f t="shared" si="2"/>
        <v/>
      </c>
      <c r="GM2" s="128" t="str">
        <f t="shared" si="2"/>
        <v/>
      </c>
      <c r="GN2" s="128" t="str">
        <f t="shared" si="2"/>
        <v/>
      </c>
      <c r="GO2" s="128" t="str">
        <f t="shared" si="2"/>
        <v/>
      </c>
      <c r="GP2" s="128" t="str">
        <f t="shared" si="2"/>
        <v/>
      </c>
      <c r="GQ2" s="128" t="str">
        <f t="shared" si="2"/>
        <v/>
      </c>
      <c r="GR2" s="128" t="str">
        <f t="shared" si="2"/>
        <v/>
      </c>
      <c r="GS2" s="128" t="str">
        <f t="shared" si="2"/>
        <v/>
      </c>
      <c r="GT2" s="128" t="str">
        <f t="shared" si="2"/>
        <v/>
      </c>
      <c r="GU2" s="128" t="str">
        <f t="shared" si="2"/>
        <v/>
      </c>
      <c r="GV2" s="128" t="str">
        <f t="shared" si="2"/>
        <v/>
      </c>
      <c r="GW2" s="128" t="str">
        <f t="shared" si="2"/>
        <v/>
      </c>
      <c r="GX2" s="128" t="str">
        <f t="shared" si="2"/>
        <v/>
      </c>
      <c r="GY2" s="128" t="str">
        <f t="shared" si="2"/>
        <v/>
      </c>
      <c r="GZ2" s="128" t="str">
        <f t="shared" si="2"/>
        <v/>
      </c>
      <c r="HA2" s="128" t="str">
        <f t="shared" si="2"/>
        <v/>
      </c>
      <c r="HB2" s="128" t="str">
        <f t="shared" si="2"/>
        <v/>
      </c>
      <c r="HC2" s="128" t="str">
        <f t="shared" si="2"/>
        <v/>
      </c>
      <c r="HD2" s="128" t="str">
        <f t="shared" si="2"/>
        <v/>
      </c>
      <c r="HE2" s="128" t="str">
        <f t="shared" si="2"/>
        <v/>
      </c>
      <c r="HF2" s="128" t="str">
        <f t="shared" si="2"/>
        <v/>
      </c>
      <c r="HG2" s="128" t="str">
        <f t="shared" si="2"/>
        <v/>
      </c>
      <c r="HH2" s="128" t="str">
        <f t="shared" si="2"/>
        <v/>
      </c>
      <c r="HI2" s="128" t="str">
        <f t="shared" si="2"/>
        <v/>
      </c>
      <c r="HJ2" s="128" t="str">
        <f t="shared" si="2"/>
        <v/>
      </c>
      <c r="HK2" s="128" t="str">
        <f t="shared" si="2"/>
        <v/>
      </c>
      <c r="HL2" s="128" t="str">
        <f t="shared" si="2"/>
        <v/>
      </c>
      <c r="HM2" s="128" t="str">
        <f t="shared" si="2"/>
        <v/>
      </c>
      <c r="HN2" s="128" t="str">
        <f t="shared" si="2"/>
        <v/>
      </c>
      <c r="HO2" s="128" t="str">
        <f t="shared" si="2"/>
        <v/>
      </c>
      <c r="HP2" s="128" t="str">
        <f t="shared" si="2"/>
        <v/>
      </c>
      <c r="HQ2" s="128" t="str">
        <f t="shared" si="2"/>
        <v/>
      </c>
      <c r="HR2" s="128" t="str">
        <f t="shared" si="2"/>
        <v/>
      </c>
      <c r="HS2" s="128" t="str">
        <f t="shared" si="2"/>
        <v/>
      </c>
      <c r="HT2" s="128" t="str">
        <f t="shared" si="2"/>
        <v/>
      </c>
      <c r="HU2" s="128" t="str">
        <f t="shared" ref="HU2:IK2" si="3">IF(HU3="","",HT2+1)</f>
        <v/>
      </c>
      <c r="HV2" s="128" t="str">
        <f t="shared" si="3"/>
        <v/>
      </c>
      <c r="HW2" s="128" t="str">
        <f t="shared" si="3"/>
        <v/>
      </c>
      <c r="HX2" s="128" t="str">
        <f t="shared" si="3"/>
        <v/>
      </c>
      <c r="HY2" s="128" t="str">
        <f t="shared" si="3"/>
        <v/>
      </c>
      <c r="HZ2" s="128" t="str">
        <f t="shared" si="3"/>
        <v/>
      </c>
      <c r="IA2" s="128" t="str">
        <f t="shared" si="3"/>
        <v/>
      </c>
      <c r="IB2" s="128" t="str">
        <f t="shared" si="3"/>
        <v/>
      </c>
      <c r="IC2" s="128" t="str">
        <f t="shared" si="3"/>
        <v/>
      </c>
      <c r="ID2" s="128" t="str">
        <f t="shared" si="3"/>
        <v/>
      </c>
      <c r="IE2" s="128" t="str">
        <f t="shared" si="3"/>
        <v/>
      </c>
      <c r="IF2" s="128" t="str">
        <f t="shared" si="3"/>
        <v/>
      </c>
      <c r="IG2" s="128" t="str">
        <f t="shared" si="3"/>
        <v/>
      </c>
      <c r="IH2" s="128" t="str">
        <f t="shared" si="3"/>
        <v/>
      </c>
      <c r="II2" s="128" t="str">
        <f t="shared" si="3"/>
        <v/>
      </c>
      <c r="IJ2" s="128" t="str">
        <f t="shared" si="3"/>
        <v/>
      </c>
      <c r="IK2" s="128" t="str">
        <f t="shared" si="3"/>
        <v/>
      </c>
    </row>
    <row r="3" spans="1:245" s="134" customFormat="1">
      <c r="A3" s="130" t="s">
        <v>124</v>
      </c>
      <c r="B3" s="131"/>
      <c r="C3" s="131"/>
      <c r="D3" s="131"/>
      <c r="E3" s="132"/>
      <c r="F3" s="133"/>
      <c r="G3" s="131"/>
      <c r="H3" s="131"/>
      <c r="I3" s="131"/>
      <c r="J3" s="131"/>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row>
    <row r="4" spans="1:245" s="134" customFormat="1" ht="51">
      <c r="A4" s="130" t="s">
        <v>125</v>
      </c>
      <c r="B4" s="131" t="s">
        <v>696</v>
      </c>
      <c r="C4" s="131" t="s">
        <v>697</v>
      </c>
      <c r="D4" s="131" t="s">
        <v>944</v>
      </c>
      <c r="E4" s="131"/>
      <c r="F4" s="133"/>
      <c r="G4" s="131"/>
      <c r="H4" s="131"/>
      <c r="I4" s="131"/>
      <c r="J4" s="131"/>
      <c r="K4" s="132"/>
      <c r="L4" s="131"/>
      <c r="M4" s="131"/>
      <c r="N4" s="131"/>
      <c r="O4" s="132"/>
      <c r="P4" s="132"/>
      <c r="Q4" s="131"/>
      <c r="R4" s="131"/>
      <c r="S4" s="131"/>
      <c r="T4" s="131"/>
      <c r="U4" s="131"/>
      <c r="V4" s="131"/>
      <c r="W4" s="131"/>
      <c r="X4" s="136"/>
      <c r="Y4" s="131"/>
      <c r="Z4" s="132"/>
      <c r="AA4" s="131"/>
      <c r="AB4" s="131"/>
      <c r="AC4" s="132"/>
      <c r="AD4" s="132"/>
      <c r="AE4" s="132"/>
      <c r="AF4" s="132"/>
      <c r="AG4" s="132"/>
      <c r="AH4" s="132"/>
      <c r="AI4" s="132"/>
      <c r="AQ4" s="137"/>
      <c r="AR4" s="137"/>
      <c r="AS4" s="137"/>
      <c r="AT4" s="137"/>
      <c r="AU4" s="137"/>
      <c r="AV4" s="137"/>
      <c r="AW4" s="137"/>
      <c r="GA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row>
    <row r="5" spans="1:245" s="142" customFormat="1">
      <c r="A5" s="138" t="s">
        <v>126</v>
      </c>
      <c r="B5" s="139" t="s">
        <v>698</v>
      </c>
      <c r="C5" s="139" t="s">
        <v>699</v>
      </c>
      <c r="D5" s="139" t="s">
        <v>945</v>
      </c>
      <c r="E5" s="140"/>
      <c r="F5" s="141"/>
      <c r="G5" s="139"/>
      <c r="H5" s="139"/>
      <c r="I5" s="139"/>
      <c r="J5" s="139"/>
      <c r="K5" s="139"/>
      <c r="L5" s="140"/>
      <c r="M5" s="139"/>
      <c r="N5" s="140"/>
      <c r="O5" s="140"/>
      <c r="P5" s="140"/>
      <c r="Q5" s="139"/>
      <c r="R5" s="140"/>
      <c r="S5" s="139"/>
      <c r="T5" s="140"/>
      <c r="U5" s="139"/>
      <c r="V5" s="140"/>
      <c r="W5" s="139"/>
      <c r="X5" s="140"/>
      <c r="Y5" s="139"/>
      <c r="Z5" s="139"/>
      <c r="AA5" s="140"/>
      <c r="AB5" s="140"/>
      <c r="AC5" s="140"/>
      <c r="AD5" s="140"/>
      <c r="AE5" s="140"/>
      <c r="AF5" s="140"/>
      <c r="AG5" s="140"/>
      <c r="AH5" s="140"/>
      <c r="AI5" s="140"/>
      <c r="DO5" s="143"/>
      <c r="GC5" s="144"/>
      <c r="GD5" s="144"/>
      <c r="GE5" s="144"/>
      <c r="GF5" s="144"/>
      <c r="GG5" s="144"/>
      <c r="GH5" s="144"/>
      <c r="GI5" s="144"/>
      <c r="GJ5" s="144"/>
      <c r="GK5" s="144"/>
      <c r="GL5" s="144"/>
      <c r="GM5" s="144"/>
      <c r="GN5" s="144"/>
      <c r="GO5" s="144"/>
      <c r="GP5" s="144"/>
      <c r="GQ5" s="144"/>
      <c r="GR5" s="144"/>
      <c r="GS5" s="144"/>
      <c r="GT5" s="144"/>
      <c r="GU5" s="144"/>
      <c r="GV5" s="144"/>
      <c r="GW5" s="145"/>
      <c r="GX5" s="144"/>
      <c r="GY5" s="144"/>
      <c r="GZ5" s="144"/>
      <c r="HA5" s="144"/>
      <c r="HB5" s="144"/>
    </row>
    <row r="6" spans="1:245" s="142" customFormat="1" ht="25.5">
      <c r="A6" s="138" t="s">
        <v>127</v>
      </c>
      <c r="B6" s="139" t="s">
        <v>700</v>
      </c>
      <c r="C6" s="139"/>
      <c r="D6" s="139"/>
      <c r="E6" s="140"/>
      <c r="F6" s="141"/>
      <c r="G6" s="139"/>
      <c r="H6" s="139"/>
      <c r="I6" s="139"/>
      <c r="J6" s="139"/>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GC6" s="144"/>
      <c r="GD6" s="144"/>
      <c r="GE6" s="144"/>
      <c r="GF6" s="144"/>
      <c r="GG6" s="144"/>
      <c r="GH6" s="144"/>
      <c r="GI6" s="144"/>
      <c r="GJ6" s="144"/>
      <c r="GK6" s="144"/>
      <c r="GL6" s="144"/>
      <c r="GM6" s="144"/>
      <c r="GN6" s="144"/>
      <c r="GO6" s="144"/>
      <c r="GP6" s="144"/>
      <c r="GQ6" s="144"/>
      <c r="GR6" s="144"/>
      <c r="GS6" s="144"/>
      <c r="GT6" s="144"/>
      <c r="GU6" s="144"/>
      <c r="GV6" s="144"/>
      <c r="GW6" s="144"/>
      <c r="GX6" s="144"/>
      <c r="GY6" s="144"/>
      <c r="GZ6" s="144"/>
      <c r="HA6" s="144"/>
      <c r="HB6" s="144"/>
    </row>
    <row r="7" spans="1:245" s="149" customFormat="1">
      <c r="A7" s="130" t="s">
        <v>128</v>
      </c>
      <c r="B7" s="146" t="s">
        <v>701</v>
      </c>
      <c r="C7" s="146" t="s">
        <v>702</v>
      </c>
      <c r="D7" s="146" t="s">
        <v>701</v>
      </c>
      <c r="E7" s="147"/>
      <c r="F7" s="148"/>
      <c r="G7" s="146"/>
      <c r="H7" s="146"/>
      <c r="I7" s="146"/>
      <c r="J7" s="146"/>
      <c r="K7" s="147"/>
      <c r="L7" s="147"/>
      <c r="M7" s="146"/>
      <c r="N7" s="147"/>
      <c r="O7" s="147"/>
      <c r="P7" s="147"/>
      <c r="Q7" s="146"/>
      <c r="R7" s="147"/>
      <c r="S7" s="146"/>
      <c r="T7" s="147"/>
      <c r="U7" s="147"/>
      <c r="V7" s="147"/>
      <c r="W7" s="147"/>
      <c r="X7" s="147"/>
      <c r="Y7" s="147"/>
      <c r="Z7" s="147"/>
      <c r="AA7" s="147"/>
      <c r="AB7" s="147"/>
      <c r="AC7" s="147"/>
      <c r="AD7" s="147"/>
      <c r="AE7" s="147"/>
      <c r="AF7" s="147"/>
      <c r="AG7" s="147"/>
      <c r="AH7" s="147"/>
      <c r="AI7" s="147"/>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row>
    <row r="8" spans="1:245" s="149" customFormat="1">
      <c r="A8" s="130" t="s">
        <v>129</v>
      </c>
      <c r="B8" s="146"/>
      <c r="C8" s="146"/>
      <c r="D8" s="146"/>
      <c r="E8" s="147"/>
      <c r="F8" s="148"/>
      <c r="G8" s="146"/>
      <c r="H8" s="146"/>
      <c r="I8" s="146"/>
      <c r="J8" s="146"/>
      <c r="K8" s="147"/>
      <c r="L8" s="147"/>
      <c r="M8" s="147"/>
      <c r="N8" s="146"/>
      <c r="O8" s="147"/>
      <c r="P8" s="147"/>
      <c r="Q8" s="147"/>
      <c r="R8" s="147"/>
      <c r="S8" s="146"/>
      <c r="T8" s="147"/>
      <c r="U8" s="147"/>
      <c r="V8" s="147"/>
      <c r="W8" s="147"/>
      <c r="X8" s="147"/>
      <c r="Y8" s="147"/>
      <c r="Z8" s="147"/>
      <c r="AA8" s="147"/>
      <c r="AB8" s="147"/>
      <c r="AC8" s="147"/>
      <c r="AD8" s="147"/>
      <c r="AE8" s="147"/>
      <c r="AF8" s="147"/>
      <c r="AG8" s="147"/>
      <c r="AH8" s="147"/>
      <c r="AI8" s="147"/>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row>
    <row r="9" spans="1:245" s="142" customFormat="1">
      <c r="A9" s="138" t="s">
        <v>130</v>
      </c>
      <c r="B9" s="139"/>
      <c r="C9" s="151"/>
      <c r="D9" s="151"/>
      <c r="E9" s="140"/>
      <c r="F9" s="141"/>
      <c r="G9" s="139"/>
      <c r="H9" s="139"/>
      <c r="I9" s="139"/>
      <c r="J9" s="139"/>
      <c r="K9" s="140"/>
      <c r="L9" s="139"/>
      <c r="M9" s="139"/>
      <c r="N9" s="140"/>
      <c r="O9" s="140"/>
      <c r="P9" s="140"/>
      <c r="Q9" s="151"/>
      <c r="R9" s="140"/>
      <c r="S9" s="139"/>
      <c r="T9" s="139"/>
      <c r="U9" s="139"/>
      <c r="V9" s="140"/>
      <c r="W9" s="140"/>
      <c r="X9" s="140"/>
      <c r="Y9" s="140"/>
      <c r="Z9" s="140"/>
      <c r="AA9" s="140"/>
      <c r="AB9" s="140"/>
      <c r="AC9" s="140"/>
      <c r="AD9" s="140"/>
      <c r="AE9" s="140"/>
      <c r="AF9" s="140"/>
      <c r="AG9" s="140"/>
      <c r="AH9" s="140"/>
      <c r="AI9" s="140"/>
      <c r="AY9" s="143"/>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row>
    <row r="10" spans="1:245" s="142" customFormat="1">
      <c r="A10" s="138" t="s">
        <v>131</v>
      </c>
      <c r="B10" s="139"/>
      <c r="C10" s="139"/>
      <c r="D10" s="139"/>
      <c r="E10" s="140"/>
      <c r="F10" s="141"/>
      <c r="G10" s="139"/>
      <c r="H10" s="139"/>
      <c r="I10" s="139"/>
      <c r="J10" s="139"/>
      <c r="K10" s="140"/>
      <c r="L10" s="140"/>
      <c r="M10" s="140"/>
      <c r="N10" s="140"/>
      <c r="O10" s="140"/>
      <c r="P10" s="140"/>
      <c r="Q10" s="139"/>
      <c r="R10" s="140"/>
      <c r="S10" s="140"/>
      <c r="T10" s="140"/>
      <c r="U10" s="140"/>
      <c r="V10" s="140"/>
      <c r="W10" s="140"/>
      <c r="X10" s="140"/>
      <c r="Y10" s="140"/>
      <c r="Z10" s="140"/>
      <c r="AA10" s="140"/>
      <c r="AB10" s="140"/>
      <c r="AC10" s="140"/>
      <c r="AD10" s="140"/>
      <c r="AE10" s="140"/>
      <c r="AF10" s="140"/>
      <c r="AG10" s="140"/>
      <c r="AH10" s="140"/>
      <c r="AI10" s="140"/>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row>
    <row r="11" spans="1:245" s="149" customFormat="1">
      <c r="A11" s="130" t="s">
        <v>132</v>
      </c>
      <c r="B11" s="146"/>
      <c r="C11" s="146"/>
      <c r="D11" s="146"/>
      <c r="E11" s="147"/>
      <c r="F11" s="148"/>
      <c r="G11" s="146"/>
      <c r="H11" s="146"/>
      <c r="I11" s="146"/>
      <c r="J11" s="146"/>
      <c r="K11" s="147"/>
      <c r="L11" s="147"/>
      <c r="M11" s="147"/>
      <c r="N11" s="147"/>
      <c r="O11" s="147"/>
      <c r="P11" s="147"/>
      <c r="Q11" s="147"/>
      <c r="R11" s="147"/>
      <c r="S11" s="146"/>
      <c r="T11" s="147"/>
      <c r="U11" s="147"/>
      <c r="V11" s="147"/>
      <c r="W11" s="147"/>
      <c r="X11" s="146"/>
      <c r="Y11" s="147"/>
      <c r="Z11" s="147"/>
      <c r="AA11" s="147"/>
      <c r="AB11" s="147"/>
      <c r="AC11" s="147"/>
      <c r="AD11" s="147"/>
      <c r="AE11" s="147"/>
      <c r="AF11" s="147"/>
      <c r="AG11" s="147"/>
      <c r="AH11" s="147"/>
      <c r="AI11" s="147"/>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row>
    <row r="12" spans="1:245" s="149" customFormat="1" ht="25.5">
      <c r="A12" s="130" t="s">
        <v>133</v>
      </c>
      <c r="B12" s="146"/>
      <c r="C12" s="146"/>
      <c r="D12" s="146"/>
      <c r="E12" s="147"/>
      <c r="F12" s="148"/>
      <c r="G12" s="146"/>
      <c r="H12" s="146"/>
      <c r="I12" s="146"/>
      <c r="J12" s="146"/>
      <c r="K12" s="147"/>
      <c r="L12" s="147"/>
      <c r="M12" s="147"/>
      <c r="N12" s="147"/>
      <c r="O12" s="147"/>
      <c r="P12" s="147"/>
      <c r="Q12" s="147"/>
      <c r="R12" s="147"/>
      <c r="S12" s="146"/>
      <c r="T12" s="147"/>
      <c r="U12" s="147"/>
      <c r="V12" s="147"/>
      <c r="W12" s="147"/>
      <c r="X12" s="146"/>
      <c r="Y12" s="147"/>
      <c r="Z12" s="147"/>
      <c r="AA12" s="147"/>
      <c r="AB12" s="147"/>
      <c r="AC12" s="147"/>
      <c r="AD12" s="147"/>
      <c r="AE12" s="147"/>
      <c r="AF12" s="147"/>
      <c r="AG12" s="147"/>
      <c r="AH12" s="147"/>
      <c r="AI12" s="147"/>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row>
    <row r="13" spans="1:245" s="142" customFormat="1">
      <c r="A13" s="138" t="s">
        <v>134</v>
      </c>
      <c r="B13" s="139"/>
      <c r="C13" s="139"/>
      <c r="D13" s="139"/>
      <c r="E13" s="140"/>
      <c r="F13" s="141"/>
      <c r="G13" s="139"/>
      <c r="H13" s="139"/>
      <c r="I13" s="139"/>
      <c r="J13" s="139"/>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row>
    <row r="14" spans="1:245" s="142" customFormat="1">
      <c r="A14" s="138" t="s">
        <v>135</v>
      </c>
      <c r="B14" s="139"/>
      <c r="C14" s="139"/>
      <c r="D14" s="139"/>
      <c r="E14" s="140"/>
      <c r="F14" s="141"/>
      <c r="G14" s="139"/>
      <c r="H14" s="139"/>
      <c r="I14" s="139"/>
      <c r="J14" s="139"/>
      <c r="K14" s="140"/>
      <c r="L14" s="140"/>
      <c r="M14" s="140"/>
      <c r="N14" s="139"/>
      <c r="O14" s="140"/>
      <c r="P14" s="140"/>
      <c r="Q14" s="140"/>
      <c r="R14" s="140"/>
      <c r="S14" s="140"/>
      <c r="T14" s="140"/>
      <c r="U14" s="140"/>
      <c r="V14" s="140"/>
      <c r="W14" s="140"/>
      <c r="X14" s="140"/>
      <c r="Y14" s="140"/>
      <c r="Z14" s="140"/>
      <c r="AA14" s="140"/>
      <c r="AB14" s="140"/>
      <c r="AC14" s="140"/>
      <c r="AD14" s="140"/>
      <c r="AE14" s="140"/>
      <c r="AF14" s="140"/>
      <c r="AG14" s="140"/>
      <c r="AH14" s="140"/>
      <c r="AI14" s="140"/>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row>
    <row r="15" spans="1:245" s="134" customFormat="1">
      <c r="A15" s="130" t="s">
        <v>136</v>
      </c>
      <c r="B15" s="131"/>
      <c r="C15" s="131"/>
      <c r="D15" s="131"/>
      <c r="E15" s="132"/>
      <c r="F15" s="133"/>
      <c r="G15" s="131"/>
      <c r="H15" s="131"/>
      <c r="I15" s="131"/>
      <c r="J15" s="131"/>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row>
    <row r="16" spans="1:245" s="149" customFormat="1">
      <c r="A16" s="130" t="s">
        <v>137</v>
      </c>
      <c r="B16" s="146"/>
      <c r="C16" s="146"/>
      <c r="D16" s="146"/>
      <c r="E16" s="147"/>
      <c r="F16" s="148"/>
      <c r="G16" s="146"/>
      <c r="H16" s="146"/>
      <c r="I16" s="146"/>
      <c r="J16" s="146"/>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CC16" s="134"/>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row>
    <row r="17" spans="1:210" s="155" customFormat="1">
      <c r="A17" s="138" t="s">
        <v>138</v>
      </c>
      <c r="B17" s="152"/>
      <c r="C17" s="152"/>
      <c r="D17" s="152"/>
      <c r="E17" s="153"/>
      <c r="F17" s="154"/>
      <c r="G17" s="152"/>
      <c r="H17" s="152"/>
      <c r="I17" s="152"/>
      <c r="J17" s="152"/>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row>
    <row r="18" spans="1:210" s="155" customFormat="1">
      <c r="A18" s="138" t="s">
        <v>139</v>
      </c>
      <c r="B18" s="152"/>
      <c r="C18" s="152"/>
      <c r="D18" s="152"/>
      <c r="E18" s="153"/>
      <c r="F18" s="154"/>
      <c r="G18" s="152"/>
      <c r="H18" s="152"/>
      <c r="I18" s="152"/>
      <c r="J18" s="152"/>
      <c r="K18" s="153"/>
      <c r="L18" s="153"/>
      <c r="M18" s="153"/>
      <c r="N18" s="153"/>
      <c r="O18" s="153"/>
      <c r="P18" s="153"/>
      <c r="Q18" s="153"/>
      <c r="R18" s="153"/>
      <c r="S18" s="153"/>
      <c r="T18" s="153"/>
      <c r="U18" s="153"/>
      <c r="V18" s="153"/>
      <c r="W18" s="153"/>
      <c r="X18" s="157"/>
      <c r="Y18" s="153"/>
      <c r="Z18" s="153"/>
      <c r="AA18" s="153"/>
      <c r="AB18" s="153"/>
      <c r="AC18" s="153"/>
      <c r="AD18" s="153"/>
      <c r="AE18" s="153"/>
      <c r="AF18" s="153"/>
      <c r="AG18" s="153"/>
      <c r="AH18" s="153"/>
      <c r="AI18" s="153"/>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row>
    <row r="19" spans="1:210" s="134" customFormat="1">
      <c r="A19" s="130" t="s">
        <v>140</v>
      </c>
      <c r="B19" s="131"/>
      <c r="C19" s="131"/>
      <c r="D19" s="131"/>
      <c r="E19" s="132"/>
      <c r="F19" s="133"/>
      <c r="G19" s="131"/>
      <c r="H19" s="131"/>
      <c r="I19" s="131"/>
      <c r="J19" s="131"/>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row>
    <row r="20" spans="1:210" s="163" customFormat="1">
      <c r="A20" s="158" t="s">
        <v>141</v>
      </c>
      <c r="B20" s="159"/>
      <c r="C20" s="159" t="s">
        <v>142</v>
      </c>
      <c r="D20" s="333" t="s">
        <v>946</v>
      </c>
      <c r="E20" s="159"/>
      <c r="F20" s="161"/>
      <c r="G20" s="159"/>
      <c r="H20" s="159"/>
      <c r="I20" s="159"/>
      <c r="J20" s="159"/>
      <c r="K20" s="160"/>
      <c r="L20" s="160"/>
      <c r="M20" s="162"/>
      <c r="N20" s="160"/>
      <c r="P20" s="164"/>
      <c r="Q20" s="160"/>
      <c r="R20" s="160"/>
      <c r="T20" s="160"/>
      <c r="U20" s="160"/>
      <c r="V20" s="160"/>
      <c r="W20" s="160"/>
      <c r="X20" s="160"/>
      <c r="Y20" s="160"/>
      <c r="Z20" s="160"/>
      <c r="AA20" s="164"/>
      <c r="AB20" s="164"/>
      <c r="AC20" s="164"/>
      <c r="AD20" s="164"/>
      <c r="AE20" s="164"/>
      <c r="AF20" s="164"/>
      <c r="AG20" s="164"/>
      <c r="AH20" s="164"/>
      <c r="AI20" s="164"/>
      <c r="AJ20" s="164"/>
      <c r="AK20" s="164"/>
      <c r="AL20" s="164"/>
      <c r="AM20" s="164"/>
      <c r="AN20" s="164"/>
      <c r="AO20" s="164"/>
      <c r="AP20" s="164"/>
      <c r="AQ20" s="164"/>
      <c r="AR20" s="164"/>
      <c r="AS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X20" s="164"/>
      <c r="BY20" s="164"/>
      <c r="BZ20" s="164"/>
      <c r="CA20" s="164"/>
      <c r="CB20" s="164"/>
      <c r="CC20" s="164"/>
      <c r="CD20" s="164"/>
      <c r="CE20" s="164"/>
      <c r="CF20" s="164"/>
      <c r="CG20" s="164"/>
      <c r="CH20" s="164"/>
      <c r="CI20" s="164"/>
      <c r="CK20" s="164"/>
      <c r="CL20" s="164"/>
      <c r="CN20" s="164"/>
      <c r="CO20" s="164"/>
      <c r="CP20" s="164"/>
      <c r="CQ20" s="164"/>
      <c r="CR20" s="164"/>
      <c r="CS20" s="164"/>
      <c r="CT20" s="164"/>
      <c r="CU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GC20" s="162"/>
      <c r="GE20" s="162"/>
      <c r="GI20" s="162"/>
      <c r="GJ20" s="162"/>
      <c r="GK20" s="162"/>
      <c r="GM20" s="162"/>
      <c r="GN20" s="162"/>
      <c r="GO20" s="162"/>
      <c r="GP20" s="162"/>
      <c r="GQ20" s="162"/>
      <c r="GR20" s="162"/>
      <c r="GS20" s="162"/>
      <c r="GT20" s="162"/>
      <c r="GU20" s="162"/>
      <c r="GV20" s="162"/>
      <c r="GW20" s="162"/>
      <c r="GX20" s="162"/>
      <c r="GY20" s="162"/>
      <c r="GZ20" s="162"/>
      <c r="HA20" s="162"/>
      <c r="HB20" s="162"/>
    </row>
    <row r="21" spans="1:210" s="146" customFormat="1" ht="25.5">
      <c r="A21" s="165" t="s">
        <v>143</v>
      </c>
      <c r="B21" s="166"/>
      <c r="C21" s="166"/>
      <c r="D21" s="166" t="s">
        <v>947</v>
      </c>
      <c r="E21" s="166"/>
      <c r="F21" s="168"/>
      <c r="G21" s="166"/>
      <c r="H21" s="166"/>
      <c r="I21" s="166"/>
      <c r="J21" s="166"/>
      <c r="K21" s="167"/>
      <c r="L21" s="167"/>
      <c r="M21" s="169"/>
      <c r="N21" s="167"/>
      <c r="P21" s="170"/>
      <c r="Q21" s="167"/>
      <c r="R21" s="167"/>
      <c r="T21" s="167"/>
      <c r="U21" s="167"/>
      <c r="V21" s="167"/>
      <c r="W21" s="167"/>
      <c r="X21" s="167"/>
      <c r="Y21" s="167"/>
      <c r="Z21" s="167"/>
      <c r="AA21" s="170"/>
      <c r="AB21" s="170"/>
      <c r="AC21" s="170"/>
      <c r="AD21" s="170"/>
      <c r="AE21" s="170"/>
      <c r="AF21" s="170"/>
      <c r="AG21" s="170"/>
      <c r="AH21" s="170"/>
      <c r="AI21" s="170"/>
      <c r="AJ21" s="170"/>
      <c r="AK21" s="170"/>
      <c r="AL21" s="170"/>
      <c r="AM21" s="170"/>
      <c r="AN21" s="170"/>
      <c r="AO21" s="170"/>
      <c r="AP21" s="170"/>
      <c r="AQ21" s="170"/>
      <c r="AR21" s="170"/>
      <c r="AS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X21" s="170"/>
      <c r="BY21" s="170"/>
      <c r="BZ21" s="170"/>
      <c r="CA21" s="170"/>
      <c r="CB21" s="170"/>
      <c r="CC21" s="170"/>
      <c r="CD21" s="170"/>
      <c r="CE21" s="170"/>
      <c r="CF21" s="170"/>
      <c r="CG21" s="170"/>
      <c r="CH21" s="170"/>
      <c r="CI21" s="170"/>
      <c r="CK21" s="170"/>
      <c r="CL21" s="170"/>
      <c r="CN21" s="170"/>
      <c r="CO21" s="170"/>
      <c r="CP21" s="170"/>
      <c r="CQ21" s="170"/>
      <c r="CR21" s="170"/>
      <c r="CS21" s="170"/>
      <c r="CT21" s="170"/>
      <c r="CU21" s="170"/>
      <c r="CW21" s="170"/>
      <c r="CX21" s="170"/>
      <c r="CY21" s="170"/>
      <c r="CZ21" s="170"/>
      <c r="DA21" s="170"/>
      <c r="DB21" s="170"/>
      <c r="DC21" s="170"/>
      <c r="DD21" s="170"/>
      <c r="DE21" s="170"/>
      <c r="DF21" s="170"/>
      <c r="DG21" s="170"/>
      <c r="DH21" s="170"/>
      <c r="DI21" s="170"/>
      <c r="DJ21" s="170"/>
      <c r="DK21" s="170"/>
      <c r="DL21" s="170"/>
      <c r="DM21" s="170"/>
      <c r="DN21" s="170"/>
      <c r="DO21" s="170"/>
      <c r="DP21" s="170"/>
      <c r="DQ21" s="170"/>
      <c r="DR21" s="170"/>
      <c r="DS21" s="170"/>
      <c r="DT21" s="170"/>
      <c r="GC21" s="169"/>
      <c r="GE21" s="169"/>
      <c r="GI21" s="169"/>
      <c r="GJ21" s="169"/>
      <c r="GK21" s="169"/>
      <c r="GM21" s="169"/>
      <c r="GN21" s="169"/>
      <c r="GO21" s="169"/>
      <c r="GP21" s="169"/>
      <c r="GQ21" s="169"/>
      <c r="GR21" s="169"/>
      <c r="GS21" s="169"/>
      <c r="GT21" s="169"/>
      <c r="GU21" s="169"/>
      <c r="GV21" s="169"/>
      <c r="GW21" s="169"/>
      <c r="GX21" s="169"/>
      <c r="GY21" s="169"/>
      <c r="GZ21" s="169"/>
      <c r="HA21" s="169"/>
      <c r="HB21" s="169"/>
    </row>
    <row r="22" spans="1:210" s="142" customFormat="1">
      <c r="A22" s="138" t="s">
        <v>144</v>
      </c>
      <c r="B22" s="139"/>
      <c r="C22" s="139"/>
      <c r="D22" s="139"/>
      <c r="E22" s="140"/>
      <c r="F22" s="141"/>
      <c r="G22" s="139"/>
      <c r="H22" s="139"/>
      <c r="I22" s="139"/>
      <c r="J22" s="139"/>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row>
    <row r="23" spans="1:210" s="155" customFormat="1" ht="25.5">
      <c r="A23" s="138" t="s">
        <v>145</v>
      </c>
      <c r="B23" s="152"/>
      <c r="C23" s="152"/>
      <c r="D23" s="152"/>
      <c r="E23" s="153"/>
      <c r="F23" s="154"/>
      <c r="G23" s="139"/>
      <c r="H23" s="152"/>
      <c r="I23" s="152"/>
      <c r="J23" s="152"/>
      <c r="K23" s="140"/>
      <c r="L23" s="153"/>
      <c r="M23" s="139"/>
      <c r="N23" s="153"/>
      <c r="O23" s="153"/>
      <c r="P23" s="153"/>
      <c r="Q23" s="152"/>
      <c r="R23" s="153"/>
      <c r="S23" s="152"/>
      <c r="T23" s="153"/>
      <c r="U23" s="153"/>
      <c r="V23" s="153"/>
      <c r="W23" s="153"/>
      <c r="X23" s="152"/>
      <c r="Y23" s="153"/>
      <c r="Z23" s="153"/>
      <c r="AA23" s="153"/>
      <c r="AB23" s="153"/>
      <c r="AC23" s="153"/>
      <c r="AD23" s="153"/>
      <c r="AE23" s="153"/>
      <c r="AF23" s="153"/>
      <c r="AG23" s="153"/>
      <c r="AH23" s="153"/>
      <c r="AI23" s="153"/>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row>
    <row r="24" spans="1:210" s="149" customFormat="1" ht="25.5">
      <c r="A24" s="130" t="s">
        <v>146</v>
      </c>
      <c r="B24" s="146"/>
      <c r="C24" s="131"/>
      <c r="D24" s="131"/>
      <c r="E24" s="147"/>
      <c r="F24" s="148"/>
      <c r="G24" s="131"/>
      <c r="H24" s="146"/>
      <c r="I24" s="146"/>
      <c r="J24" s="146"/>
      <c r="K24" s="132"/>
      <c r="L24" s="147"/>
      <c r="M24" s="131"/>
      <c r="N24" s="147"/>
      <c r="O24" s="147"/>
      <c r="P24" s="147"/>
      <c r="Q24" s="132"/>
      <c r="R24" s="147"/>
      <c r="S24" s="131"/>
      <c r="T24" s="147"/>
      <c r="U24" s="147"/>
      <c r="V24" s="147"/>
      <c r="W24" s="147"/>
      <c r="X24" s="147"/>
      <c r="Y24" s="147"/>
      <c r="Z24" s="147"/>
      <c r="AA24" s="147"/>
      <c r="AB24" s="147"/>
      <c r="AC24" s="147"/>
      <c r="AD24" s="147"/>
      <c r="AE24" s="147"/>
      <c r="AF24" s="147"/>
      <c r="AG24" s="147"/>
      <c r="AH24" s="147"/>
      <c r="AI24" s="147"/>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row>
    <row r="25" spans="1:210" s="134" customFormat="1">
      <c r="A25" s="130" t="s">
        <v>147</v>
      </c>
      <c r="B25" s="131"/>
      <c r="C25" s="131"/>
      <c r="D25" s="131"/>
      <c r="E25" s="132"/>
      <c r="F25" s="133"/>
      <c r="G25" s="131"/>
      <c r="H25" s="131"/>
      <c r="I25" s="131"/>
      <c r="J25" s="131"/>
      <c r="K25" s="132"/>
      <c r="L25" s="132"/>
      <c r="M25" s="131"/>
      <c r="N25" s="132"/>
      <c r="O25" s="132"/>
      <c r="P25" s="132"/>
      <c r="Q25" s="131"/>
      <c r="R25" s="132"/>
      <c r="S25" s="131"/>
      <c r="T25" s="132"/>
      <c r="U25" s="132"/>
      <c r="V25" s="132"/>
      <c r="W25" s="132"/>
      <c r="X25" s="132"/>
      <c r="Y25" s="132"/>
      <c r="Z25" s="132"/>
      <c r="AA25" s="132"/>
      <c r="AB25" s="132"/>
      <c r="AC25" s="132"/>
      <c r="AD25" s="132"/>
      <c r="AE25" s="132"/>
      <c r="AF25" s="132"/>
      <c r="AG25" s="132"/>
      <c r="AH25" s="132"/>
      <c r="AI25" s="132"/>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row>
    <row r="26" spans="1:210" s="142" customFormat="1" ht="103.5" customHeight="1">
      <c r="A26" s="143" t="s">
        <v>148</v>
      </c>
      <c r="B26" s="139" t="s">
        <v>703</v>
      </c>
      <c r="C26" s="139" t="s">
        <v>704</v>
      </c>
      <c r="D26" s="139" t="s">
        <v>948</v>
      </c>
      <c r="E26" s="139"/>
      <c r="F26" s="171"/>
      <c r="G26" s="139"/>
      <c r="H26" s="139"/>
      <c r="I26" s="139"/>
      <c r="J26" s="139"/>
      <c r="K26" s="172"/>
      <c r="L26" s="139"/>
      <c r="M26" s="139"/>
      <c r="N26" s="139"/>
      <c r="O26" s="139"/>
      <c r="P26" s="139"/>
      <c r="Q26" s="139"/>
      <c r="R26" s="139"/>
      <c r="S26" s="139"/>
      <c r="T26" s="139"/>
      <c r="U26" s="139"/>
      <c r="V26" s="139"/>
      <c r="W26" s="139"/>
      <c r="X26" s="139"/>
      <c r="Y26" s="139"/>
      <c r="Z26" s="139"/>
      <c r="AA26" s="173"/>
      <c r="AB26" s="173"/>
      <c r="AC26" s="173"/>
      <c r="AD26" s="139"/>
      <c r="AE26" s="173"/>
      <c r="AF26" s="173"/>
      <c r="AG26" s="173"/>
      <c r="AH26" s="173"/>
      <c r="AI26" s="173"/>
      <c r="AJ26" s="143"/>
      <c r="AK26" s="174"/>
      <c r="AL26" s="174"/>
      <c r="AM26" s="174"/>
      <c r="AN26" s="174"/>
      <c r="AO26" s="174"/>
      <c r="AP26" s="174"/>
      <c r="AQ26" s="174"/>
      <c r="AR26" s="174"/>
      <c r="AS26" s="174"/>
      <c r="AU26" s="143"/>
      <c r="AV26" s="143"/>
      <c r="AW26" s="143"/>
      <c r="AX26" s="143"/>
      <c r="BL26" s="174"/>
      <c r="DS26" s="143"/>
      <c r="DT26" s="143"/>
      <c r="GC26" s="144"/>
      <c r="GD26" s="144"/>
      <c r="GE26" s="144"/>
      <c r="GF26" s="144"/>
      <c r="GG26" s="144"/>
      <c r="GH26" s="144"/>
      <c r="GI26" s="144"/>
      <c r="GJ26" s="144"/>
      <c r="GK26" s="145"/>
      <c r="GL26" s="144"/>
      <c r="GM26" s="144"/>
      <c r="GN26" s="144"/>
      <c r="GO26" s="144"/>
      <c r="GP26" s="144"/>
      <c r="GQ26" s="144"/>
      <c r="GR26" s="144"/>
      <c r="GS26" s="144"/>
      <c r="GT26" s="144"/>
      <c r="GU26" s="144"/>
      <c r="GV26" s="144"/>
      <c r="GW26" s="144"/>
      <c r="GX26" s="144"/>
      <c r="GY26" s="144"/>
      <c r="GZ26" s="144"/>
      <c r="HA26" s="175"/>
      <c r="HB26" s="175"/>
    </row>
    <row r="27" spans="1:210" s="142" customFormat="1" ht="76.5">
      <c r="A27" s="138" t="s">
        <v>149</v>
      </c>
      <c r="B27" s="139" t="s">
        <v>705</v>
      </c>
      <c r="C27" s="139" t="s">
        <v>706</v>
      </c>
      <c r="D27" s="139"/>
      <c r="E27" s="140"/>
      <c r="F27" s="141"/>
      <c r="G27" s="139"/>
      <c r="H27" s="139"/>
      <c r="I27" s="139"/>
      <c r="J27" s="139"/>
      <c r="K27" s="140"/>
      <c r="L27" s="140"/>
      <c r="M27" s="140"/>
      <c r="N27" s="140"/>
      <c r="O27" s="140"/>
      <c r="P27" s="140"/>
      <c r="Q27" s="140"/>
      <c r="R27" s="140"/>
      <c r="S27" s="139"/>
      <c r="T27" s="140"/>
      <c r="U27" s="140"/>
      <c r="V27" s="140"/>
      <c r="W27" s="140"/>
      <c r="X27" s="139"/>
      <c r="Y27" s="140"/>
      <c r="Z27" s="140"/>
      <c r="AA27" s="140"/>
      <c r="AB27" s="140"/>
      <c r="AC27" s="140"/>
      <c r="AD27" s="140"/>
      <c r="AE27" s="140"/>
      <c r="AF27" s="140"/>
      <c r="AG27" s="140"/>
      <c r="AH27" s="140"/>
      <c r="AI27" s="140"/>
    </row>
    <row r="28" spans="1:210" s="176" customFormat="1" ht="12.75" customHeight="1">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row>
    <row r="29" spans="1:210" s="176" customFormat="1" ht="12.75" customHeight="1">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row>
    <row r="30" spans="1:210" s="176" customFormat="1" ht="12.75" customHeight="1">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row>
    <row r="31" spans="1:210" s="176" customFormat="1" ht="12.75" customHeight="1">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210" s="176" customFormat="1" ht="12.75" customHeight="1">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row>
    <row r="33" spans="2:35" s="176" customFormat="1" ht="12.75" customHeight="1">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row>
    <row r="34" spans="2:35" s="176" customFormat="1" ht="12.75" customHeight="1">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row>
    <row r="35" spans="2:35" s="176" customFormat="1" ht="12.75" customHeight="1">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row>
    <row r="36" spans="2:35" s="176" customFormat="1" ht="12.75" customHeight="1">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row>
    <row r="37" spans="2:35" s="176" customFormat="1" ht="12.75" customHeight="1">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row>
    <row r="38" spans="2:35" s="176" customFormat="1" ht="12.75" customHeight="1">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row>
    <row r="39" spans="2:35" s="176" customFormat="1" ht="12.75" customHeight="1">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row>
    <row r="40" spans="2:35" s="176" customFormat="1" ht="12.75" customHeight="1">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row>
    <row r="50" spans="1:35" ht="12.75" customHeight="1">
      <c r="A50" s="178" t="s">
        <v>150</v>
      </c>
    </row>
    <row r="51" spans="1:35" s="181" customFormat="1" ht="12.75" customHeight="1">
      <c r="B51" s="182" t="s">
        <v>151</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row>
    <row r="52" spans="1:35" ht="12.75" customHeight="1">
      <c r="B52" s="183" t="s">
        <v>79</v>
      </c>
    </row>
    <row r="53" spans="1:35" ht="12.75" customHeight="1">
      <c r="B53" s="184" t="s">
        <v>152</v>
      </c>
    </row>
    <row r="54" spans="1:35" ht="12.75" customHeight="1">
      <c r="B54" s="184" t="s">
        <v>153</v>
      </c>
    </row>
    <row r="55" spans="1:35" ht="12.75" customHeight="1">
      <c r="B55" s="184" t="s">
        <v>154</v>
      </c>
    </row>
    <row r="56" spans="1:35" ht="12.75" customHeight="1">
      <c r="B56" s="184" t="s">
        <v>155</v>
      </c>
    </row>
    <row r="57" spans="1:35" ht="12.75" customHeight="1">
      <c r="B57" s="184" t="s">
        <v>156</v>
      </c>
    </row>
    <row r="58" spans="1:35" ht="12.75" customHeight="1">
      <c r="B58" s="184" t="s">
        <v>157</v>
      </c>
    </row>
    <row r="59" spans="1:35" ht="12.75" customHeight="1">
      <c r="B59" s="184" t="s">
        <v>158</v>
      </c>
    </row>
    <row r="60" spans="1:35" ht="12.75" customHeight="1">
      <c r="B60" s="184" t="s">
        <v>159</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D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C5" sqref="C5"/>
    </sheetView>
  </sheetViews>
  <sheetFormatPr defaultColWidth="9.140625" defaultRowHeight="12.75"/>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c r="A1" s="405" t="s">
        <v>18</v>
      </c>
      <c r="B1" s="405"/>
      <c r="C1" s="405"/>
      <c r="D1" s="405"/>
      <c r="E1" s="405"/>
      <c r="F1" s="405"/>
      <c r="G1" s="405"/>
      <c r="H1" s="405"/>
      <c r="I1" s="405"/>
      <c r="J1" s="405"/>
      <c r="K1" s="405"/>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c r="A2" s="185" t="s">
        <v>160</v>
      </c>
      <c r="C2" s="186"/>
      <c r="D2" s="186"/>
      <c r="E2" s="186"/>
      <c r="F2" s="186"/>
      <c r="G2" s="186"/>
      <c r="H2" s="186"/>
    </row>
    <row r="3" spans="1:39" s="184" customFormat="1" ht="40.5" customHeight="1">
      <c r="B3" s="187" t="s">
        <v>161</v>
      </c>
      <c r="C3" s="188" t="s">
        <v>162</v>
      </c>
      <c r="D3" s="188" t="s">
        <v>163</v>
      </c>
      <c r="E3" s="188" t="s">
        <v>86</v>
      </c>
      <c r="F3" s="188" t="s">
        <v>164</v>
      </c>
      <c r="G3" s="188" t="s">
        <v>165</v>
      </c>
      <c r="H3" s="188" t="s">
        <v>166</v>
      </c>
      <c r="I3" s="189" t="s">
        <v>17</v>
      </c>
      <c r="J3" s="188" t="s">
        <v>167</v>
      </c>
      <c r="K3" s="188" t="s">
        <v>168</v>
      </c>
    </row>
    <row r="4" spans="1:39" s="184" customFormat="1">
      <c r="B4" s="63" t="s">
        <v>942</v>
      </c>
      <c r="C4" s="48">
        <v>1</v>
      </c>
      <c r="D4" s="190">
        <v>3</v>
      </c>
      <c r="E4" s="190">
        <v>3</v>
      </c>
      <c r="F4" s="190">
        <v>3</v>
      </c>
      <c r="G4" s="190">
        <v>3</v>
      </c>
      <c r="H4" s="191">
        <v>2</v>
      </c>
      <c r="I4" s="192" t="str">
        <f t="shared" ref="I4:I6" si="0">IF(D4&lt;&gt;"",D4&amp;","&amp;E4&amp;","&amp;F4&amp;","&amp;G4&amp;","&amp;H4,"0,0,0,0,0")</f>
        <v>3,3,3,3,2</v>
      </c>
      <c r="J4" s="193" t="str">
        <f>IF(MAX(D4:H4)&gt;=5, "Requirements not met", "Requirements met")</f>
        <v>Requirements met</v>
      </c>
      <c r="K4" s="194" t="str">
        <f>IF(MAX(D4:H4)&gt;=5, "Not OK", "OK")</f>
        <v>OK</v>
      </c>
    </row>
    <row r="5" spans="1:39" s="184" customFormat="1">
      <c r="B5" s="63"/>
      <c r="C5" s="48"/>
      <c r="D5" s="190"/>
      <c r="E5" s="190"/>
      <c r="F5" s="190"/>
      <c r="G5" s="190"/>
      <c r="H5" s="191"/>
      <c r="I5" s="192" t="str">
        <f t="shared" si="0"/>
        <v>0,0,0,0,0</v>
      </c>
      <c r="J5" s="193" t="str">
        <f>IF(MAX(D5:H5)&gt;=5, "Requirements not met", "Requirements met")</f>
        <v>Requirements met</v>
      </c>
      <c r="K5" s="194" t="str">
        <f>IF(MAX(D5:H5)&gt;=5, "Not OK", "OK")</f>
        <v>OK</v>
      </c>
    </row>
    <row r="6" spans="1:39" s="184" customFormat="1">
      <c r="B6" s="63"/>
      <c r="C6" s="48"/>
      <c r="D6" s="190"/>
      <c r="E6" s="190"/>
      <c r="F6" s="190"/>
      <c r="G6" s="190"/>
      <c r="H6" s="191"/>
      <c r="I6" s="192" t="str">
        <f t="shared" si="0"/>
        <v>0,0,0,0,0</v>
      </c>
      <c r="J6" s="193" t="str">
        <f>IF(MAX(D6:H6)&gt;=5, "Requirements not met", "Requirements met")</f>
        <v>Requirements met</v>
      </c>
      <c r="K6" s="194" t="str">
        <f>IF(MAX(D6:H6)&gt;=5, "Not OK", "OK")</f>
        <v>OK</v>
      </c>
    </row>
    <row r="7" spans="1:39" s="184" customFormat="1">
      <c r="B7" s="65"/>
      <c r="C7" s="195"/>
      <c r="D7" s="190"/>
      <c r="E7" s="190"/>
      <c r="F7" s="190"/>
      <c r="G7" s="190"/>
      <c r="H7" s="191"/>
      <c r="I7" s="192" t="str">
        <f>IF(D7&lt;&gt;"",D7&amp;","&amp;E7&amp;","&amp;F7&amp;","&amp;G7&amp;","&amp;H7,"0,0,0,0,0")</f>
        <v>0,0,0,0,0</v>
      </c>
      <c r="J7" s="193" t="str">
        <f>IF(MAX(D7:H7)&gt;=5, "Requirements not met", "Requirements met")</f>
        <v>Requirements met</v>
      </c>
      <c r="K7" s="194" t="str">
        <f>IF(MAX(D7:H7)&gt;=5, "Not OK", "OK")</f>
        <v>OK</v>
      </c>
    </row>
    <row r="8" spans="1:39" s="184" customFormat="1" ht="12.75" customHeight="1">
      <c r="B8" s="196" t="s">
        <v>73</v>
      </c>
      <c r="C8" s="197"/>
      <c r="D8" s="197"/>
      <c r="E8" s="197"/>
      <c r="F8" s="197"/>
      <c r="G8" s="197"/>
      <c r="H8" s="197"/>
      <c r="I8" s="198" t="str">
        <f>MAX(D4:D7)&amp;","&amp;MAX(E4:E7)&amp;","&amp;MAX(F4:F7)&amp;","&amp;MAX(G4:G7)&amp;","&amp;MAX(H4:H7)</f>
        <v>3,3,3,3,2</v>
      </c>
      <c r="J8" s="437"/>
      <c r="K8" s="437"/>
    </row>
    <row r="9" spans="1:39" ht="20.25">
      <c r="B9" s="11"/>
      <c r="C9" s="11"/>
      <c r="D9" s="11"/>
      <c r="E9" s="11"/>
      <c r="F9" s="11"/>
      <c r="G9" s="11"/>
      <c r="H9" s="11"/>
      <c r="I9" s="79"/>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c r="A10" s="185" t="s">
        <v>169</v>
      </c>
      <c r="C10" s="11"/>
      <c r="D10" s="11"/>
      <c r="E10" s="11"/>
      <c r="F10" s="11"/>
      <c r="G10" s="11"/>
      <c r="H10" s="79"/>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200" customFormat="1" ht="13.5" thickBot="1">
      <c r="A11" s="199" t="s">
        <v>170</v>
      </c>
    </row>
    <row r="12" spans="1:39" ht="17.25" customHeight="1" thickBot="1">
      <c r="B12" s="438" t="s">
        <v>171</v>
      </c>
      <c r="C12" s="440" t="s">
        <v>172</v>
      </c>
      <c r="D12" s="441"/>
      <c r="E12" s="441"/>
      <c r="F12" s="441"/>
      <c r="G12" s="442"/>
    </row>
    <row r="13" spans="1:39" ht="13.5" thickBot="1">
      <c r="B13" s="439"/>
      <c r="C13" s="201">
        <v>1</v>
      </c>
      <c r="D13" s="201">
        <v>2</v>
      </c>
      <c r="E13" s="201">
        <v>3</v>
      </c>
      <c r="F13" s="201">
        <v>4</v>
      </c>
      <c r="G13" s="201">
        <v>5</v>
      </c>
    </row>
    <row r="14" spans="1:39" ht="72.75" thickBot="1">
      <c r="B14" s="443" t="s">
        <v>173</v>
      </c>
      <c r="C14" s="202" t="s">
        <v>174</v>
      </c>
      <c r="D14" s="202" t="s">
        <v>175</v>
      </c>
      <c r="E14" s="202" t="s">
        <v>176</v>
      </c>
      <c r="F14" s="202" t="s">
        <v>177</v>
      </c>
      <c r="G14" s="202" t="s">
        <v>178</v>
      </c>
    </row>
    <row r="15" spans="1:39" ht="24" customHeight="1" thickBot="1">
      <c r="B15" s="444"/>
      <c r="C15" s="446" t="s">
        <v>179</v>
      </c>
      <c r="D15" s="447"/>
      <c r="E15" s="446" t="s">
        <v>180</v>
      </c>
      <c r="F15" s="448"/>
      <c r="G15" s="447"/>
    </row>
    <row r="16" spans="1:39" ht="36.75" thickBot="1">
      <c r="B16" s="445"/>
      <c r="C16" s="203" t="s">
        <v>181</v>
      </c>
      <c r="D16" s="449" t="s">
        <v>182</v>
      </c>
      <c r="E16" s="450"/>
      <c r="F16" s="451" t="s">
        <v>183</v>
      </c>
      <c r="G16" s="452"/>
    </row>
    <row r="17" spans="1:18" ht="60.75" thickBot="1">
      <c r="B17" s="204" t="s">
        <v>86</v>
      </c>
      <c r="C17" s="202" t="s">
        <v>184</v>
      </c>
      <c r="D17" s="202" t="s">
        <v>185</v>
      </c>
      <c r="E17" s="202" t="s">
        <v>186</v>
      </c>
      <c r="F17" s="202" t="s">
        <v>187</v>
      </c>
      <c r="G17" s="202" t="s">
        <v>188</v>
      </c>
    </row>
    <row r="18" spans="1:18" ht="44.25" customHeight="1" thickBot="1">
      <c r="B18" s="204" t="s">
        <v>164</v>
      </c>
      <c r="C18" s="202" t="s">
        <v>189</v>
      </c>
      <c r="D18" s="202" t="s">
        <v>190</v>
      </c>
      <c r="E18" s="202" t="s">
        <v>191</v>
      </c>
      <c r="F18" s="202" t="s">
        <v>192</v>
      </c>
      <c r="G18" s="202" t="s">
        <v>193</v>
      </c>
    </row>
    <row r="19" spans="1:18" ht="44.25" customHeight="1" thickBot="1">
      <c r="B19" s="204" t="s">
        <v>165</v>
      </c>
      <c r="C19" s="202" t="s">
        <v>194</v>
      </c>
      <c r="D19" s="202" t="s">
        <v>195</v>
      </c>
      <c r="E19" s="202" t="s">
        <v>196</v>
      </c>
      <c r="F19" s="202" t="s">
        <v>197</v>
      </c>
      <c r="G19" s="202" t="s">
        <v>198</v>
      </c>
    </row>
    <row r="20" spans="1:18" ht="44.25" customHeight="1" thickBot="1">
      <c r="B20" s="204" t="s">
        <v>199</v>
      </c>
      <c r="C20" s="202" t="s">
        <v>200</v>
      </c>
      <c r="D20" s="446" t="s">
        <v>201</v>
      </c>
      <c r="E20" s="447"/>
      <c r="F20" s="202" t="s">
        <v>202</v>
      </c>
      <c r="G20" s="202" t="s">
        <v>203</v>
      </c>
    </row>
    <row r="21" spans="1:18">
      <c r="B21" s="205"/>
      <c r="C21" s="206"/>
      <c r="D21" s="206"/>
      <c r="E21" s="206"/>
      <c r="F21" s="206"/>
      <c r="G21" s="206"/>
    </row>
    <row r="22" spans="1:18" customFormat="1" ht="15">
      <c r="A22" s="207" t="s">
        <v>204</v>
      </c>
      <c r="C22" s="208"/>
      <c r="D22" s="208"/>
      <c r="E22" s="208"/>
      <c r="F22" s="208"/>
      <c r="G22" s="208"/>
      <c r="H22" s="208"/>
      <c r="I22" s="208"/>
      <c r="J22" s="208"/>
      <c r="K22" s="208"/>
      <c r="L22" s="208"/>
      <c r="M22" s="208"/>
      <c r="N22" s="208"/>
      <c r="O22" s="208"/>
      <c r="P22" s="208"/>
      <c r="Q22" s="208"/>
      <c r="R22" s="208"/>
    </row>
    <row r="23" spans="1:18" customFormat="1" ht="15">
      <c r="B23" s="209" t="s">
        <v>205</v>
      </c>
      <c r="C23" s="210"/>
      <c r="D23" s="210"/>
      <c r="E23" s="210"/>
      <c r="F23" s="210"/>
      <c r="G23" s="210"/>
      <c r="H23" s="211"/>
      <c r="I23" s="208"/>
      <c r="J23" s="208"/>
      <c r="K23" s="208"/>
      <c r="L23" s="208"/>
      <c r="M23" s="208"/>
      <c r="N23" s="208"/>
      <c r="O23" s="208"/>
      <c r="P23" s="208"/>
      <c r="Q23" s="208"/>
      <c r="R23" s="208"/>
    </row>
    <row r="24" spans="1:18" customFormat="1" ht="65.25" customHeight="1">
      <c r="B24" s="212"/>
      <c r="C24" s="418" t="s">
        <v>206</v>
      </c>
      <c r="D24" s="419"/>
      <c r="E24" s="419"/>
      <c r="F24" s="419"/>
      <c r="G24" s="419"/>
      <c r="H24" s="420"/>
      <c r="N24" s="213"/>
      <c r="O24" s="213"/>
      <c r="P24" s="213"/>
      <c r="Q24" s="213"/>
      <c r="R24" s="213"/>
    </row>
    <row r="25" spans="1:18" customFormat="1" ht="15">
      <c r="B25" s="212"/>
      <c r="C25" s="214" t="s">
        <v>207</v>
      </c>
      <c r="D25" s="215"/>
      <c r="E25" s="215"/>
      <c r="F25" s="215"/>
      <c r="G25" s="215"/>
      <c r="H25" s="216"/>
      <c r="I25" s="208"/>
      <c r="J25" s="208"/>
      <c r="K25" s="208"/>
      <c r="L25" s="208"/>
      <c r="M25" s="208"/>
      <c r="N25" s="208"/>
      <c r="O25" s="208"/>
      <c r="P25" s="208"/>
      <c r="Q25" s="208"/>
      <c r="R25" s="208"/>
    </row>
    <row r="26" spans="1:18" customFormat="1" ht="15">
      <c r="B26" s="212"/>
      <c r="C26" s="217" t="s">
        <v>208</v>
      </c>
      <c r="D26" s="218"/>
      <c r="E26" s="218"/>
      <c r="F26" s="218"/>
      <c r="G26" s="218"/>
      <c r="H26" s="219"/>
      <c r="I26" s="208"/>
      <c r="J26" s="208"/>
      <c r="K26" s="208"/>
      <c r="L26" s="208"/>
      <c r="M26" s="208"/>
      <c r="N26" s="208"/>
      <c r="O26" s="208"/>
      <c r="P26" s="208"/>
      <c r="Q26" s="208"/>
      <c r="R26" s="208"/>
    </row>
    <row r="27" spans="1:18" customFormat="1" ht="15">
      <c r="B27" s="212"/>
      <c r="C27" s="217" t="s">
        <v>209</v>
      </c>
      <c r="D27" s="218"/>
      <c r="E27" s="218"/>
      <c r="F27" s="218"/>
      <c r="G27" s="218"/>
      <c r="H27" s="219"/>
      <c r="I27" s="208"/>
      <c r="J27" s="208"/>
      <c r="K27" s="208"/>
      <c r="L27" s="208"/>
      <c r="M27" s="208"/>
      <c r="N27" s="208"/>
      <c r="O27" s="208"/>
      <c r="P27" s="208"/>
      <c r="Q27" s="208"/>
      <c r="R27" s="208"/>
    </row>
    <row r="28" spans="1:18" customFormat="1" ht="15">
      <c r="B28" s="212"/>
      <c r="C28" s="217" t="s">
        <v>210</v>
      </c>
      <c r="D28" s="218"/>
      <c r="E28" s="218"/>
      <c r="F28" s="218"/>
      <c r="G28" s="218"/>
      <c r="H28" s="219"/>
      <c r="I28" s="208"/>
      <c r="J28" s="208"/>
      <c r="K28" s="208"/>
      <c r="L28" s="208"/>
      <c r="M28" s="208"/>
      <c r="N28" s="208"/>
      <c r="O28" s="208"/>
      <c r="P28" s="208"/>
      <c r="Q28" s="208"/>
      <c r="R28" s="208"/>
    </row>
    <row r="29" spans="1:18" customFormat="1" ht="15">
      <c r="B29" s="212"/>
      <c r="C29" s="217" t="s">
        <v>211</v>
      </c>
      <c r="D29" s="218"/>
      <c r="E29" s="218"/>
      <c r="F29" s="218"/>
      <c r="G29" s="218"/>
      <c r="H29" s="219"/>
      <c r="I29" s="208"/>
      <c r="J29" s="208"/>
      <c r="K29" s="208"/>
      <c r="L29" s="208"/>
      <c r="M29" s="208"/>
      <c r="N29" s="208"/>
      <c r="O29" s="208"/>
      <c r="P29" s="208"/>
      <c r="Q29" s="208"/>
      <c r="R29" s="208"/>
    </row>
    <row r="30" spans="1:18" customFormat="1" ht="41.25" customHeight="1">
      <c r="B30" s="212"/>
      <c r="C30" s="434" t="s">
        <v>212</v>
      </c>
      <c r="D30" s="435"/>
      <c r="E30" s="435"/>
      <c r="F30" s="435"/>
      <c r="G30" s="435"/>
      <c r="H30" s="436"/>
      <c r="N30" s="220"/>
      <c r="O30" s="220"/>
      <c r="P30" s="220"/>
      <c r="Q30" s="208"/>
      <c r="R30" s="208"/>
    </row>
    <row r="31" spans="1:18" customFormat="1" ht="38.25" customHeight="1">
      <c r="B31" s="221"/>
      <c r="C31" s="418" t="s">
        <v>213</v>
      </c>
      <c r="D31" s="419"/>
      <c r="E31" s="419"/>
      <c r="F31" s="419"/>
      <c r="G31" s="419"/>
      <c r="H31" s="420"/>
      <c r="N31" s="213"/>
      <c r="O31" s="213"/>
      <c r="P31" s="213"/>
      <c r="Q31" s="213"/>
      <c r="R31" s="208"/>
    </row>
    <row r="32" spans="1:18" customFormat="1" ht="43.5" customHeight="1">
      <c r="B32" s="418" t="s">
        <v>214</v>
      </c>
      <c r="C32" s="419"/>
      <c r="D32" s="419"/>
      <c r="E32" s="419"/>
      <c r="F32" s="419"/>
      <c r="G32" s="419"/>
      <c r="H32" s="420"/>
      <c r="I32" s="208"/>
      <c r="J32" s="208"/>
      <c r="K32" s="208"/>
      <c r="L32" s="208"/>
      <c r="M32" s="208"/>
      <c r="N32" s="208"/>
      <c r="O32" s="208"/>
      <c r="P32" s="208"/>
      <c r="Q32" s="208"/>
      <c r="R32" s="208"/>
    </row>
    <row r="33" spans="1:9" customFormat="1" ht="49.5" customHeight="1">
      <c r="B33" s="418" t="s">
        <v>215</v>
      </c>
      <c r="C33" s="419"/>
      <c r="D33" s="419"/>
      <c r="E33" s="419"/>
      <c r="F33" s="419"/>
      <c r="G33" s="419"/>
      <c r="H33" s="420"/>
      <c r="I33" s="222"/>
    </row>
    <row r="34" spans="1:9" customFormat="1" ht="46.5" customHeight="1">
      <c r="B34" s="418" t="s">
        <v>216</v>
      </c>
      <c r="C34" s="419"/>
      <c r="D34" s="419"/>
      <c r="E34" s="419"/>
      <c r="F34" s="419"/>
      <c r="G34" s="419"/>
      <c r="H34" s="420"/>
      <c r="I34" s="222"/>
    </row>
    <row r="35" spans="1:9" customFormat="1" ht="30" customHeight="1">
      <c r="B35" s="418" t="s">
        <v>217</v>
      </c>
      <c r="C35" s="419"/>
      <c r="D35" s="419"/>
      <c r="E35" s="419"/>
      <c r="F35" s="419"/>
      <c r="G35" s="419"/>
      <c r="H35" s="420"/>
      <c r="I35" s="222"/>
    </row>
    <row r="36" spans="1:9" customFormat="1" ht="15" customHeight="1">
      <c r="A36" s="223" t="s">
        <v>218</v>
      </c>
      <c r="B36" s="223"/>
      <c r="I36" s="224"/>
    </row>
    <row r="37" spans="1:9" customFormat="1" ht="30" customHeight="1">
      <c r="B37" s="421" t="s">
        <v>219</v>
      </c>
      <c r="C37" s="422"/>
      <c r="D37" s="422"/>
      <c r="E37" s="422"/>
      <c r="F37" s="422"/>
      <c r="G37" s="422"/>
      <c r="H37" s="423"/>
    </row>
    <row r="38" spans="1:9" customFormat="1" ht="12.75" customHeight="1">
      <c r="B38" s="424" t="s">
        <v>220</v>
      </c>
      <c r="C38" s="425"/>
      <c r="D38" s="425"/>
      <c r="E38" s="425"/>
      <c r="F38" s="425"/>
      <c r="G38" s="225"/>
      <c r="H38" s="226"/>
    </row>
    <row r="39" spans="1:9" customFormat="1" ht="29.25" customHeight="1">
      <c r="B39" s="426" t="s">
        <v>221</v>
      </c>
      <c r="C39" s="427"/>
      <c r="D39" s="427"/>
      <c r="E39" s="427"/>
      <c r="F39" s="427"/>
      <c r="G39" s="427"/>
      <c r="H39" s="428"/>
    </row>
    <row r="40" spans="1:9" customFormat="1" ht="15" customHeight="1">
      <c r="B40" s="227" t="s">
        <v>222</v>
      </c>
      <c r="C40" s="225"/>
      <c r="D40" s="225"/>
      <c r="E40" s="225"/>
      <c r="F40" s="225"/>
      <c r="G40" s="225"/>
      <c r="H40" s="226"/>
    </row>
    <row r="41" spans="1:9" customFormat="1" ht="30.75" customHeight="1">
      <c r="B41" s="426" t="s">
        <v>223</v>
      </c>
      <c r="C41" s="427"/>
      <c r="D41" s="427"/>
      <c r="E41" s="427"/>
      <c r="F41" s="427"/>
      <c r="G41" s="427"/>
      <c r="H41" s="428"/>
    </row>
    <row r="42" spans="1:9" customFormat="1" ht="12.75" customHeight="1">
      <c r="B42" s="429" t="s">
        <v>224</v>
      </c>
      <c r="C42" s="430"/>
      <c r="D42" s="430"/>
      <c r="E42" s="430"/>
      <c r="F42" s="430"/>
      <c r="G42" s="430"/>
      <c r="H42" s="226"/>
    </row>
    <row r="43" spans="1:9" customFormat="1" ht="35.25" customHeight="1">
      <c r="B43" s="426" t="s">
        <v>225</v>
      </c>
      <c r="C43" s="427"/>
      <c r="D43" s="427"/>
      <c r="E43" s="427"/>
      <c r="F43" s="427"/>
      <c r="G43" s="427"/>
      <c r="H43" s="428"/>
    </row>
    <row r="44" spans="1:9" customFormat="1" ht="24.75" customHeight="1">
      <c r="B44" s="431" t="s">
        <v>226</v>
      </c>
      <c r="C44" s="432"/>
      <c r="D44" s="432"/>
      <c r="E44" s="432"/>
      <c r="F44" s="432"/>
      <c r="G44" s="432"/>
      <c r="H44" s="433"/>
    </row>
    <row r="45" spans="1:9" customFormat="1" ht="27.75" customHeight="1">
      <c r="B45" s="434" t="s">
        <v>227</v>
      </c>
      <c r="C45" s="435"/>
      <c r="D45" s="435"/>
      <c r="E45" s="435"/>
      <c r="F45" s="435"/>
      <c r="G45" s="435"/>
      <c r="H45" s="436"/>
    </row>
    <row r="46" spans="1:9" customFormat="1" ht="21" customHeight="1">
      <c r="B46" s="418" t="s">
        <v>228</v>
      </c>
      <c r="C46" s="419"/>
      <c r="D46" s="419"/>
      <c r="E46" s="419"/>
      <c r="F46" s="419"/>
      <c r="G46" s="419"/>
      <c r="H46" s="420"/>
    </row>
    <row r="47" spans="1:9" customFormat="1" ht="26.25" customHeight="1">
      <c r="B47" s="417" t="s">
        <v>229</v>
      </c>
      <c r="C47" s="417"/>
      <c r="D47" s="417"/>
      <c r="E47" s="417"/>
      <c r="F47" s="417"/>
      <c r="G47" s="417"/>
      <c r="H47" s="417"/>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6"/>
  <sheetViews>
    <sheetView zoomScaleNormal="100" workbookViewId="0">
      <selection activeCell="C63" sqref="C63"/>
    </sheetView>
  </sheetViews>
  <sheetFormatPr defaultRowHeight="15"/>
  <cols>
    <col min="1" max="1" width="25.85546875" style="244" customWidth="1"/>
    <col min="2" max="3" width="11" style="244" customWidth="1"/>
    <col min="4" max="4" width="22.85546875" style="244" customWidth="1"/>
    <col min="5" max="6" width="11" style="244" customWidth="1"/>
    <col min="7" max="8" width="9.140625" style="244" customWidth="1"/>
    <col min="9" max="9" width="19" style="242"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c r="H1" s="79" t="s">
        <v>19</v>
      </c>
      <c r="I1" s="228"/>
    </row>
    <row r="2" spans="1:9" s="234" customFormat="1" ht="18" customHeight="1">
      <c r="A2" s="229" t="s">
        <v>19</v>
      </c>
      <c r="B2" s="230" t="s">
        <v>230</v>
      </c>
      <c r="C2" s="231"/>
      <c r="D2" s="232"/>
      <c r="E2" s="232"/>
      <c r="F2" s="232"/>
      <c r="G2" s="232"/>
      <c r="H2" s="232"/>
      <c r="I2" s="233" t="s">
        <v>64</v>
      </c>
    </row>
    <row r="3" spans="1:9" s="234" customFormat="1">
      <c r="A3" s="235" t="s">
        <v>231</v>
      </c>
      <c r="C3" s="236"/>
      <c r="I3" s="237"/>
    </row>
    <row r="4" spans="1:9" s="234" customFormat="1" ht="12.75">
      <c r="A4" s="238" t="s">
        <v>232</v>
      </c>
      <c r="B4" s="238" t="s">
        <v>60</v>
      </c>
      <c r="C4" s="238" t="s">
        <v>72</v>
      </c>
      <c r="D4" s="238" t="s">
        <v>233</v>
      </c>
      <c r="E4" s="239" t="s">
        <v>22</v>
      </c>
      <c r="F4" s="240"/>
      <c r="G4" s="240"/>
      <c r="H4" s="240"/>
      <c r="I4" s="241"/>
    </row>
    <row r="5" spans="1:9">
      <c r="A5"/>
      <c r="B5"/>
      <c r="C5"/>
      <c r="D5"/>
      <c r="E5"/>
      <c r="F5"/>
      <c r="G5"/>
      <c r="H5"/>
    </row>
    <row r="6" spans="1:9">
      <c r="A6" s="244" t="s">
        <v>709</v>
      </c>
      <c r="C6" s="244">
        <v>197</v>
      </c>
      <c r="D6" s="244" t="s">
        <v>540</v>
      </c>
      <c r="E6" s="244">
        <v>125</v>
      </c>
      <c r="F6" s="244" t="s">
        <v>410</v>
      </c>
      <c r="G6" s="244">
        <v>2</v>
      </c>
    </row>
    <row r="7" spans="1:9">
      <c r="A7" s="244" t="s">
        <v>530</v>
      </c>
      <c r="B7" s="244" t="s">
        <v>531</v>
      </c>
      <c r="C7" s="244" t="s">
        <v>710</v>
      </c>
      <c r="D7" s="244" t="s">
        <v>537</v>
      </c>
    </row>
    <row r="8" spans="1:9">
      <c r="A8" s="244" t="s">
        <v>532</v>
      </c>
      <c r="B8" s="244" t="s">
        <v>531</v>
      </c>
      <c r="C8" s="244" t="s">
        <v>711</v>
      </c>
      <c r="D8" s="244" t="s">
        <v>537</v>
      </c>
    </row>
    <row r="9" spans="1:9">
      <c r="A9" s="244" t="s">
        <v>533</v>
      </c>
      <c r="B9" s="244" t="s">
        <v>531</v>
      </c>
      <c r="C9" s="244" t="s">
        <v>712</v>
      </c>
      <c r="D9" s="244" t="s">
        <v>537</v>
      </c>
    </row>
    <row r="10" spans="1:9">
      <c r="A10" s="244" t="s">
        <v>534</v>
      </c>
      <c r="B10" s="244" t="s">
        <v>531</v>
      </c>
      <c r="C10" s="244" t="s">
        <v>713</v>
      </c>
      <c r="D10" s="244" t="s">
        <v>537</v>
      </c>
    </row>
    <row r="11" spans="1:9">
      <c r="A11" s="244" t="s">
        <v>535</v>
      </c>
      <c r="B11" s="244" t="s">
        <v>531</v>
      </c>
      <c r="C11" s="244" t="s">
        <v>714</v>
      </c>
      <c r="D11" s="244" t="s">
        <v>537</v>
      </c>
    </row>
    <row r="12" spans="1:9">
      <c r="A12" s="244" t="s">
        <v>536</v>
      </c>
      <c r="B12" s="244" t="s">
        <v>531</v>
      </c>
      <c r="C12" s="244" t="s">
        <v>715</v>
      </c>
      <c r="D12" s="244" t="s">
        <v>537</v>
      </c>
    </row>
    <row r="13" spans="1:9">
      <c r="A13" s="244" t="s">
        <v>354</v>
      </c>
      <c r="B13" s="244" t="s">
        <v>531</v>
      </c>
      <c r="C13" s="244" t="s">
        <v>716</v>
      </c>
      <c r="D13" s="244" t="s">
        <v>537</v>
      </c>
    </row>
    <row r="15" spans="1:9">
      <c r="A15" s="244" t="s">
        <v>530</v>
      </c>
      <c r="B15" s="244" t="s">
        <v>538</v>
      </c>
      <c r="C15" s="244" t="s">
        <v>717</v>
      </c>
      <c r="D15" s="244" t="s">
        <v>537</v>
      </c>
    </row>
    <row r="16" spans="1:9">
      <c r="A16" s="244" t="s">
        <v>532</v>
      </c>
      <c r="B16" s="244" t="s">
        <v>538</v>
      </c>
      <c r="C16" s="244" t="s">
        <v>718</v>
      </c>
      <c r="D16" s="244" t="s">
        <v>537</v>
      </c>
    </row>
    <row r="17" spans="1:7">
      <c r="A17" s="244" t="s">
        <v>533</v>
      </c>
      <c r="B17" s="244" t="s">
        <v>538</v>
      </c>
      <c r="C17" s="244" t="s">
        <v>719</v>
      </c>
      <c r="D17" s="244" t="s">
        <v>537</v>
      </c>
    </row>
    <row r="18" spans="1:7">
      <c r="A18" s="244" t="s">
        <v>534</v>
      </c>
      <c r="B18" s="244" t="s">
        <v>538</v>
      </c>
      <c r="C18" s="244" t="s">
        <v>720</v>
      </c>
      <c r="D18" s="244" t="s">
        <v>537</v>
      </c>
    </row>
    <row r="19" spans="1:7">
      <c r="A19" s="244" t="s">
        <v>535</v>
      </c>
      <c r="B19" s="244" t="s">
        <v>538</v>
      </c>
      <c r="C19" s="244" t="s">
        <v>721</v>
      </c>
      <c r="D19" s="244" t="s">
        <v>537</v>
      </c>
    </row>
    <row r="20" spans="1:7">
      <c r="A20" s="244" t="s">
        <v>536</v>
      </c>
      <c r="B20" s="244" t="s">
        <v>538</v>
      </c>
      <c r="C20" s="244" t="s">
        <v>722</v>
      </c>
      <c r="D20" s="244" t="s">
        <v>537</v>
      </c>
    </row>
    <row r="21" spans="1:7">
      <c r="A21" s="244" t="s">
        <v>354</v>
      </c>
      <c r="B21" s="244" t="s">
        <v>538</v>
      </c>
      <c r="C21" s="244" t="s">
        <v>723</v>
      </c>
      <c r="D21" s="244" t="s">
        <v>537</v>
      </c>
    </row>
    <row r="23" spans="1:7">
      <c r="A23" s="244" t="s">
        <v>530</v>
      </c>
      <c r="B23" s="244" t="s">
        <v>539</v>
      </c>
      <c r="C23" s="244">
        <f t="shared" ref="C23:C29" si="0">C7/C15</f>
        <v>1.3996743768246127</v>
      </c>
      <c r="E23" s="244">
        <f>'Data Summary'!E40</f>
        <v>2.3245028073435096E-2</v>
      </c>
      <c r="F23" s="244">
        <f t="shared" ref="F23:F29" si="1">C23*E23</f>
        <v>3.2535470182955897E-2</v>
      </c>
    </row>
    <row r="24" spans="1:7">
      <c r="A24" s="244" t="s">
        <v>532</v>
      </c>
      <c r="B24" s="244" t="s">
        <v>539</v>
      </c>
      <c r="C24" s="244">
        <f t="shared" si="0"/>
        <v>1.2661599164442381</v>
      </c>
      <c r="E24" s="244">
        <f>'Data Summary'!E41</f>
        <v>0</v>
      </c>
      <c r="F24" s="244">
        <f t="shared" si="1"/>
        <v>0</v>
      </c>
    </row>
    <row r="25" spans="1:7">
      <c r="A25" s="244" t="s">
        <v>533</v>
      </c>
      <c r="B25" s="244" t="s">
        <v>539</v>
      </c>
      <c r="C25" s="244">
        <f t="shared" si="0"/>
        <v>1.2753984723387346</v>
      </c>
      <c r="E25" s="244">
        <f>'Data Summary'!E42</f>
        <v>0.97219924163882065</v>
      </c>
      <c r="F25" s="244">
        <f t="shared" si="1"/>
        <v>1.2399414275950282</v>
      </c>
    </row>
    <row r="26" spans="1:7">
      <c r="A26" s="244" t="s">
        <v>534</v>
      </c>
      <c r="B26" s="244" t="s">
        <v>539</v>
      </c>
      <c r="C26" s="244">
        <f t="shared" si="0"/>
        <v>1.1614328358208954</v>
      </c>
      <c r="E26" s="244">
        <f>'Data Summary'!E43</f>
        <v>4.5557302877440075E-3</v>
      </c>
      <c r="F26" s="244">
        <f t="shared" si="1"/>
        <v>5.2911747473296661E-3</v>
      </c>
    </row>
    <row r="27" spans="1:7">
      <c r="A27" s="244" t="s">
        <v>535</v>
      </c>
      <c r="B27" s="244" t="s">
        <v>539</v>
      </c>
      <c r="C27" s="244">
        <f t="shared" si="0"/>
        <v>1.1103959932596892</v>
      </c>
      <c r="E27" s="244">
        <f>'Data Summary'!E44</f>
        <v>0</v>
      </c>
      <c r="F27" s="244">
        <f t="shared" si="1"/>
        <v>0</v>
      </c>
    </row>
    <row r="28" spans="1:7">
      <c r="A28" s="244" t="s">
        <v>536</v>
      </c>
      <c r="B28" s="244" t="s">
        <v>539</v>
      </c>
      <c r="C28" s="244">
        <f t="shared" si="0"/>
        <v>1.0840942396573103</v>
      </c>
      <c r="E28" s="244">
        <f>'Data Summary'!E45</f>
        <v>0</v>
      </c>
      <c r="F28" s="244">
        <f t="shared" si="1"/>
        <v>0</v>
      </c>
    </row>
    <row r="29" spans="1:7">
      <c r="A29" s="244" t="s">
        <v>354</v>
      </c>
      <c r="B29" s="244" t="s">
        <v>539</v>
      </c>
      <c r="C29" s="244">
        <f t="shared" si="0"/>
        <v>1.31745778061904</v>
      </c>
      <c r="E29" s="244">
        <f>'Data Summary'!E46</f>
        <v>0</v>
      </c>
      <c r="F29" s="244">
        <f t="shared" si="1"/>
        <v>0</v>
      </c>
    </row>
    <row r="30" spans="1:7">
      <c r="F30" s="244">
        <f>SUM(F23:F29)</f>
        <v>1.2777680725253138</v>
      </c>
    </row>
    <row r="31" spans="1:7">
      <c r="A31" s="244" t="s">
        <v>709</v>
      </c>
      <c r="C31" s="244">
        <v>291.5</v>
      </c>
      <c r="D31" s="244" t="s">
        <v>540</v>
      </c>
      <c r="E31" s="244">
        <v>893</v>
      </c>
      <c r="F31" s="244" t="s">
        <v>541</v>
      </c>
      <c r="G31" s="244">
        <v>2</v>
      </c>
    </row>
    <row r="32" spans="1:7">
      <c r="A32" s="244" t="s">
        <v>530</v>
      </c>
      <c r="B32" s="244" t="s">
        <v>531</v>
      </c>
      <c r="C32" s="244" t="s">
        <v>911</v>
      </c>
      <c r="D32" s="244" t="s">
        <v>537</v>
      </c>
    </row>
    <row r="33" spans="1:6">
      <c r="A33" s="244" t="s">
        <v>532</v>
      </c>
      <c r="B33" s="244" t="s">
        <v>531</v>
      </c>
      <c r="C33" s="244" t="s">
        <v>912</v>
      </c>
      <c r="D33" s="244" t="s">
        <v>537</v>
      </c>
    </row>
    <row r="34" spans="1:6">
      <c r="A34" s="244" t="s">
        <v>533</v>
      </c>
      <c r="B34" s="244" t="s">
        <v>531</v>
      </c>
      <c r="C34" s="244" t="s">
        <v>913</v>
      </c>
      <c r="D34" s="244" t="s">
        <v>537</v>
      </c>
    </row>
    <row r="35" spans="1:6">
      <c r="A35" s="244" t="s">
        <v>534</v>
      </c>
      <c r="B35" s="244" t="s">
        <v>531</v>
      </c>
      <c r="C35" s="244" t="s">
        <v>914</v>
      </c>
      <c r="D35" s="244" t="s">
        <v>537</v>
      </c>
    </row>
    <row r="36" spans="1:6">
      <c r="A36" s="244" t="s">
        <v>535</v>
      </c>
      <c r="B36" s="244" t="s">
        <v>531</v>
      </c>
      <c r="C36" s="244" t="s">
        <v>915</v>
      </c>
      <c r="D36" s="244" t="s">
        <v>537</v>
      </c>
    </row>
    <row r="37" spans="1:6">
      <c r="A37" s="244" t="s">
        <v>536</v>
      </c>
      <c r="B37" s="244" t="s">
        <v>531</v>
      </c>
      <c r="C37" s="244" t="s">
        <v>916</v>
      </c>
      <c r="D37" s="244" t="s">
        <v>537</v>
      </c>
    </row>
    <row r="38" spans="1:6">
      <c r="A38" s="244" t="s">
        <v>354</v>
      </c>
      <c r="B38" s="244" t="s">
        <v>531</v>
      </c>
      <c r="C38" s="244" t="s">
        <v>917</v>
      </c>
      <c r="D38" s="244" t="s">
        <v>537</v>
      </c>
    </row>
    <row r="40" spans="1:6">
      <c r="A40" s="244" t="s">
        <v>530</v>
      </c>
      <c r="B40" s="244" t="s">
        <v>538</v>
      </c>
      <c r="C40" s="244" t="s">
        <v>918</v>
      </c>
      <c r="D40" s="244" t="s">
        <v>537</v>
      </c>
    </row>
    <row r="41" spans="1:6">
      <c r="A41" s="244" t="s">
        <v>532</v>
      </c>
      <c r="B41" s="244" t="s">
        <v>538</v>
      </c>
      <c r="C41" s="244" t="s">
        <v>919</v>
      </c>
      <c r="D41" s="244" t="s">
        <v>537</v>
      </c>
    </row>
    <row r="42" spans="1:6">
      <c r="A42" s="244" t="s">
        <v>533</v>
      </c>
      <c r="B42" s="244" t="s">
        <v>538</v>
      </c>
      <c r="C42" s="244" t="s">
        <v>920</v>
      </c>
      <c r="D42" s="244" t="s">
        <v>537</v>
      </c>
    </row>
    <row r="43" spans="1:6">
      <c r="A43" s="244" t="s">
        <v>534</v>
      </c>
      <c r="B43" s="244" t="s">
        <v>538</v>
      </c>
      <c r="C43" s="244" t="s">
        <v>921</v>
      </c>
      <c r="D43" s="244" t="s">
        <v>537</v>
      </c>
    </row>
    <row r="44" spans="1:6">
      <c r="A44" s="244" t="s">
        <v>535</v>
      </c>
      <c r="B44" s="244" t="s">
        <v>538</v>
      </c>
      <c r="C44" s="244" t="s">
        <v>922</v>
      </c>
      <c r="D44" s="244" t="s">
        <v>537</v>
      </c>
    </row>
    <row r="45" spans="1:6">
      <c r="A45" s="244" t="s">
        <v>536</v>
      </c>
      <c r="B45" s="244" t="s">
        <v>538</v>
      </c>
      <c r="C45" s="244" t="s">
        <v>923</v>
      </c>
      <c r="D45" s="244" t="s">
        <v>537</v>
      </c>
    </row>
    <row r="46" spans="1:6">
      <c r="A46" s="244" t="s">
        <v>354</v>
      </c>
      <c r="B46" s="244" t="s">
        <v>538</v>
      </c>
      <c r="C46" s="244" t="s">
        <v>924</v>
      </c>
      <c r="D46" s="244" t="s">
        <v>537</v>
      </c>
    </row>
    <row r="48" spans="1:6">
      <c r="A48" s="244" t="s">
        <v>530</v>
      </c>
      <c r="B48" s="244" t="s">
        <v>539</v>
      </c>
      <c r="C48" s="244">
        <f t="shared" ref="C48:C54" si="2">C32/C40</f>
        <v>1.4407971215056741</v>
      </c>
      <c r="E48" s="244">
        <f>'Data Summary'!E40</f>
        <v>2.3245028073435096E-2</v>
      </c>
      <c r="F48" s="244">
        <f t="shared" ref="F48:F54" si="3">C48*E48</f>
        <v>3.3491369537523873E-2</v>
      </c>
    </row>
    <row r="49" spans="1:7">
      <c r="A49" s="244" t="s">
        <v>532</v>
      </c>
      <c r="B49" s="244" t="s">
        <v>539</v>
      </c>
      <c r="C49" s="244">
        <f t="shared" si="2"/>
        <v>1.3985212954285118</v>
      </c>
      <c r="E49" s="244">
        <f>'Data Summary'!E41</f>
        <v>0</v>
      </c>
      <c r="F49" s="244">
        <f t="shared" si="3"/>
        <v>0</v>
      </c>
    </row>
    <row r="50" spans="1:7">
      <c r="A50" s="244" t="s">
        <v>533</v>
      </c>
      <c r="B50" s="244" t="s">
        <v>539</v>
      </c>
      <c r="C50" s="244">
        <f t="shared" si="2"/>
        <v>1.3121119562396439</v>
      </c>
      <c r="E50" s="244">
        <f>'Data Summary'!E42</f>
        <v>0.97219924163882065</v>
      </c>
      <c r="F50" s="244">
        <f t="shared" si="3"/>
        <v>1.2756342488014112</v>
      </c>
    </row>
    <row r="51" spans="1:7">
      <c r="A51" s="244" t="s">
        <v>534</v>
      </c>
      <c r="B51" s="244" t="s">
        <v>539</v>
      </c>
      <c r="C51" s="244">
        <f t="shared" si="2"/>
        <v>1.3016595893080598</v>
      </c>
      <c r="E51" s="244">
        <f>'Data Summary'!E43</f>
        <v>4.5557302877440075E-3</v>
      </c>
      <c r="F51" s="244">
        <f t="shared" si="3"/>
        <v>5.9300100153431541E-3</v>
      </c>
    </row>
    <row r="52" spans="1:7">
      <c r="A52" s="244" t="s">
        <v>535</v>
      </c>
      <c r="B52" s="244" t="s">
        <v>539</v>
      </c>
      <c r="C52" s="244">
        <f t="shared" si="2"/>
        <v>1.7226809038039852</v>
      </c>
      <c r="E52" s="244">
        <f>'Data Summary'!E44</f>
        <v>0</v>
      </c>
      <c r="F52" s="244">
        <f t="shared" si="3"/>
        <v>0</v>
      </c>
    </row>
    <row r="53" spans="1:7">
      <c r="A53" s="244" t="s">
        <v>536</v>
      </c>
      <c r="B53" s="244" t="s">
        <v>539</v>
      </c>
      <c r="C53" s="244">
        <f t="shared" si="2"/>
        <v>1.5532332302120273</v>
      </c>
      <c r="E53" s="244">
        <f>'Data Summary'!E45</f>
        <v>0</v>
      </c>
      <c r="F53" s="244">
        <f t="shared" si="3"/>
        <v>0</v>
      </c>
    </row>
    <row r="54" spans="1:7">
      <c r="A54" s="244" t="s">
        <v>354</v>
      </c>
      <c r="B54" s="244" t="s">
        <v>539</v>
      </c>
      <c r="C54" s="244">
        <f t="shared" si="2"/>
        <v>1.6427031586840379</v>
      </c>
      <c r="E54" s="244">
        <f>'Data Summary'!E46</f>
        <v>0</v>
      </c>
      <c r="F54" s="244">
        <f t="shared" si="3"/>
        <v>0</v>
      </c>
    </row>
    <row r="55" spans="1:7">
      <c r="F55" s="244">
        <f>SUM(F48:F54)</f>
        <v>1.3150556283542782</v>
      </c>
    </row>
    <row r="57" spans="1:7">
      <c r="F57" s="244">
        <f>AVERAGE(F30,F55)</f>
        <v>1.2964118504397959</v>
      </c>
    </row>
    <row r="59" spans="1:7">
      <c r="B59" s="244" t="s">
        <v>531</v>
      </c>
      <c r="C59" s="244" t="s">
        <v>538</v>
      </c>
      <c r="D59" s="244" t="s">
        <v>849</v>
      </c>
    </row>
    <row r="60" spans="1:7">
      <c r="A60" s="244" t="s">
        <v>530</v>
      </c>
      <c r="B60" s="244" t="s">
        <v>925</v>
      </c>
      <c r="C60" s="244" t="s">
        <v>926</v>
      </c>
      <c r="D60" s="244">
        <f>B60-C60</f>
        <v>7.0989999999999998E-2</v>
      </c>
      <c r="E60" s="244" t="s">
        <v>854</v>
      </c>
      <c r="F60" s="244">
        <f>D60*CONVERT(1,"BTU","flb")</f>
        <v>55.242235928260854</v>
      </c>
      <c r="G60" s="244" t="s">
        <v>853</v>
      </c>
    </row>
    <row r="61" spans="1:7">
      <c r="A61" s="244" t="s">
        <v>532</v>
      </c>
      <c r="B61" s="244" t="s">
        <v>927</v>
      </c>
      <c r="C61" s="244" t="s">
        <v>928</v>
      </c>
      <c r="D61" s="244">
        <f t="shared" ref="D61:D66" si="4">B61-C61</f>
        <v>4.5309999999999989E-2</v>
      </c>
      <c r="E61" s="244" t="s">
        <v>854</v>
      </c>
      <c r="F61" s="244">
        <f t="shared" ref="F61:F66" si="5">D61*CONVERT(1,"BTU","flb")</f>
        <v>35.258849273270869</v>
      </c>
      <c r="G61" s="244" t="s">
        <v>853</v>
      </c>
    </row>
    <row r="62" spans="1:7">
      <c r="A62" s="244" t="s">
        <v>533</v>
      </c>
      <c r="B62" s="244" t="s">
        <v>929</v>
      </c>
      <c r="C62" s="244" t="s">
        <v>930</v>
      </c>
      <c r="D62" s="244">
        <f t="shared" si="4"/>
        <v>0.12404999999999999</v>
      </c>
      <c r="E62" s="244" t="s">
        <v>854</v>
      </c>
      <c r="F62" s="244">
        <f t="shared" si="5"/>
        <v>96.531896984092953</v>
      </c>
      <c r="G62" s="244" t="s">
        <v>853</v>
      </c>
    </row>
    <row r="63" spans="1:7">
      <c r="A63" s="244" t="s">
        <v>534</v>
      </c>
      <c r="B63" s="244" t="s">
        <v>931</v>
      </c>
      <c r="C63" s="244" t="s">
        <v>932</v>
      </c>
      <c r="D63" s="244">
        <f t="shared" si="4"/>
        <v>6.6399999999999959E-2</v>
      </c>
      <c r="E63" s="244" t="s">
        <v>854</v>
      </c>
      <c r="F63" s="244">
        <f t="shared" si="5"/>
        <v>51.670439014460044</v>
      </c>
      <c r="G63" s="244" t="s">
        <v>853</v>
      </c>
    </row>
    <row r="64" spans="1:7">
      <c r="A64" s="244" t="s">
        <v>535</v>
      </c>
      <c r="B64" s="244" t="s">
        <v>933</v>
      </c>
      <c r="C64" s="244" t="s">
        <v>934</v>
      </c>
      <c r="D64" s="244">
        <f t="shared" si="4"/>
        <v>4.5520000000000005E-2</v>
      </c>
      <c r="E64" s="244" t="s">
        <v>854</v>
      </c>
      <c r="F64" s="244">
        <f t="shared" si="5"/>
        <v>35.422264818346733</v>
      </c>
      <c r="G64" s="244" t="s">
        <v>853</v>
      </c>
    </row>
    <row r="65" spans="1:7">
      <c r="A65" s="244" t="s">
        <v>536</v>
      </c>
      <c r="B65" s="244" t="s">
        <v>935</v>
      </c>
      <c r="C65" s="244" t="s">
        <v>936</v>
      </c>
      <c r="D65" s="244">
        <f t="shared" si="4"/>
        <v>3.4920000000000007E-2</v>
      </c>
      <c r="E65" s="244" t="s">
        <v>854</v>
      </c>
      <c r="F65" s="244">
        <f t="shared" si="5"/>
        <v>27.173670638327504</v>
      </c>
      <c r="G65" s="244" t="s">
        <v>853</v>
      </c>
    </row>
    <row r="66" spans="1:7">
      <c r="A66" s="244" t="s">
        <v>354</v>
      </c>
      <c r="B66" s="244" t="s">
        <v>937</v>
      </c>
      <c r="C66" s="244" t="s">
        <v>938</v>
      </c>
      <c r="D66" s="244">
        <f t="shared" si="4"/>
        <v>5.8609999999999995E-2</v>
      </c>
      <c r="E66" s="244" t="s">
        <v>854</v>
      </c>
      <c r="F66" s="244">
        <f t="shared" si="5"/>
        <v>45.608500461408205</v>
      </c>
      <c r="G66" s="244" t="s">
        <v>853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2584BB"/>
  </sheetPr>
  <dimension ref="A1:AC56"/>
  <sheetViews>
    <sheetView showGridLines="0" topLeftCell="B3" zoomScale="115" zoomScaleNormal="115" workbookViewId="0">
      <selection activeCell="Y12" sqref="Y12"/>
    </sheetView>
  </sheetViews>
  <sheetFormatPr defaultColWidth="9" defaultRowHeight="12.75"/>
  <cols>
    <col min="1" max="3" width="9" style="290"/>
    <col min="4" max="4" width="14.5703125" style="290" customWidth="1"/>
    <col min="5" max="5" width="9" style="290"/>
    <col min="6" max="6" width="8.5703125" style="290" customWidth="1"/>
    <col min="7" max="21" width="9" style="290"/>
    <col min="22" max="22" width="30" style="290" customWidth="1"/>
    <col min="23" max="16384" width="9" style="290"/>
  </cols>
  <sheetData>
    <row r="1" spans="1:29" s="286" customFormat="1" ht="24" customHeight="1">
      <c r="A1" s="286" t="s">
        <v>575</v>
      </c>
    </row>
    <row r="2" spans="1:29" s="287" customFormat="1" ht="15"/>
    <row r="3" spans="1:29" s="287" customFormat="1" ht="17.100000000000001" customHeight="1">
      <c r="A3" s="288" t="s">
        <v>576</v>
      </c>
    </row>
    <row r="5" spans="1:29" s="289" customFormat="1" ht="15.75">
      <c r="A5" s="289" t="s">
        <v>577</v>
      </c>
    </row>
    <row r="8" spans="1:29" ht="15">
      <c r="B8" s="291" t="s">
        <v>578</v>
      </c>
    </row>
    <row r="9" spans="1:29">
      <c r="B9" s="292" t="s">
        <v>579</v>
      </c>
      <c r="C9" s="292"/>
      <c r="D9" s="292" t="s">
        <v>580</v>
      </c>
      <c r="E9" s="292"/>
      <c r="F9" s="292" t="s">
        <v>581</v>
      </c>
      <c r="G9" s="292"/>
      <c r="H9" s="292" t="s">
        <v>582</v>
      </c>
      <c r="I9" s="292"/>
      <c r="J9" s="292" t="s">
        <v>583</v>
      </c>
      <c r="K9" s="292"/>
      <c r="L9" s="292" t="s">
        <v>584</v>
      </c>
      <c r="M9" s="292"/>
      <c r="N9" s="292" t="s">
        <v>585</v>
      </c>
      <c r="O9" s="292"/>
      <c r="P9" s="292" t="s">
        <v>586</v>
      </c>
      <c r="Q9" s="292"/>
      <c r="R9" s="292" t="s">
        <v>587</v>
      </c>
      <c r="S9" s="292"/>
      <c r="T9" s="292" t="s">
        <v>588</v>
      </c>
      <c r="U9" s="292"/>
      <c r="V9" s="292" t="s">
        <v>589</v>
      </c>
      <c r="W9" s="292"/>
      <c r="X9" s="292" t="s">
        <v>590</v>
      </c>
      <c r="Y9" s="292"/>
      <c r="Z9" s="292" t="s">
        <v>591</v>
      </c>
      <c r="AA9" s="292"/>
      <c r="AB9" s="292" t="s">
        <v>592</v>
      </c>
      <c r="AC9" s="292"/>
    </row>
    <row r="10" spans="1:29">
      <c r="B10" s="293" t="s">
        <v>308</v>
      </c>
      <c r="C10" s="294"/>
      <c r="D10" s="295">
        <v>95</v>
      </c>
      <c r="E10" s="295" t="s">
        <v>567</v>
      </c>
      <c r="F10" s="295">
        <v>145</v>
      </c>
      <c r="G10" s="295" t="s">
        <v>567</v>
      </c>
      <c r="H10" s="295">
        <v>255</v>
      </c>
      <c r="I10" s="295" t="s">
        <v>567</v>
      </c>
      <c r="J10" s="295">
        <v>332</v>
      </c>
      <c r="K10" s="295" t="s">
        <v>567</v>
      </c>
      <c r="L10" s="295">
        <v>400</v>
      </c>
      <c r="M10" s="295" t="s">
        <v>567</v>
      </c>
      <c r="N10" s="295">
        <v>500</v>
      </c>
      <c r="O10" s="295" t="s">
        <v>567</v>
      </c>
      <c r="P10" s="295">
        <v>600</v>
      </c>
      <c r="Q10" s="295" t="s">
        <v>567</v>
      </c>
      <c r="R10" s="295">
        <v>860</v>
      </c>
      <c r="S10" s="295" t="s">
        <v>567</v>
      </c>
      <c r="T10" s="295">
        <v>1004</v>
      </c>
      <c r="U10" s="295" t="s">
        <v>567</v>
      </c>
      <c r="V10" s="295">
        <f>(1100/0.96)*Conversions!$E$43</f>
        <v>1535.416666666667</v>
      </c>
      <c r="W10" s="295" t="s">
        <v>567</v>
      </c>
      <c r="X10" s="295">
        <f>(1713/0.96)*Conversions!$E$43</f>
        <v>2391.0625</v>
      </c>
      <c r="Y10" s="295" t="s">
        <v>567</v>
      </c>
      <c r="Z10" s="295">
        <f>(1824/0.96)*Conversions!$E$43</f>
        <v>2546</v>
      </c>
      <c r="AA10" s="295" t="s">
        <v>567</v>
      </c>
      <c r="AB10" s="295">
        <f>(1966/0.96)*Conversions!$E$43</f>
        <v>2744.2083333333335</v>
      </c>
      <c r="AC10" s="295" t="s">
        <v>567</v>
      </c>
    </row>
    <row r="11" spans="1:29">
      <c r="B11" s="295" t="s">
        <v>593</v>
      </c>
      <c r="C11" s="295"/>
      <c r="D11" s="295" t="s">
        <v>594</v>
      </c>
      <c r="E11" s="295" t="s">
        <v>595</v>
      </c>
      <c r="F11" s="295" t="s">
        <v>594</v>
      </c>
      <c r="G11" s="295" t="s">
        <v>595</v>
      </c>
      <c r="H11" s="295" t="s">
        <v>594</v>
      </c>
      <c r="I11" s="295" t="s">
        <v>595</v>
      </c>
      <c r="J11" s="295" t="s">
        <v>594</v>
      </c>
      <c r="K11" s="295" t="s">
        <v>595</v>
      </c>
      <c r="L11" s="295" t="s">
        <v>594</v>
      </c>
      <c r="M11" s="295" t="s">
        <v>595</v>
      </c>
      <c r="N11" s="295" t="s">
        <v>594</v>
      </c>
      <c r="O11" s="295" t="s">
        <v>595</v>
      </c>
      <c r="P11" s="295" t="s">
        <v>594</v>
      </c>
      <c r="Q11" s="295" t="s">
        <v>595</v>
      </c>
      <c r="R11" s="295" t="s">
        <v>594</v>
      </c>
      <c r="S11" s="295" t="s">
        <v>595</v>
      </c>
      <c r="T11" s="295" t="s">
        <v>594</v>
      </c>
      <c r="U11" s="295" t="s">
        <v>595</v>
      </c>
      <c r="V11" s="295" t="s">
        <v>596</v>
      </c>
      <c r="W11" s="295" t="s">
        <v>595</v>
      </c>
      <c r="X11" s="295" t="s">
        <v>594</v>
      </c>
      <c r="Y11" s="295" t="s">
        <v>595</v>
      </c>
      <c r="Z11" s="295" t="s">
        <v>594</v>
      </c>
      <c r="AA11" s="295" t="s">
        <v>595</v>
      </c>
      <c r="AB11" s="295" t="s">
        <v>594</v>
      </c>
      <c r="AC11" s="295" t="s">
        <v>595</v>
      </c>
    </row>
    <row r="12" spans="1:29">
      <c r="B12" s="295" t="s">
        <v>597</v>
      </c>
      <c r="C12" s="295"/>
      <c r="D12" s="295">
        <v>10.71</v>
      </c>
      <c r="E12" s="295">
        <v>7567</v>
      </c>
      <c r="F12" s="295">
        <v>11</v>
      </c>
      <c r="G12" s="295">
        <v>7775</v>
      </c>
      <c r="H12" s="295">
        <v>10.71</v>
      </c>
      <c r="I12" s="295">
        <v>7568</v>
      </c>
      <c r="J12" s="295">
        <v>10.62</v>
      </c>
      <c r="K12" s="295">
        <v>7507</v>
      </c>
      <c r="L12" s="295">
        <v>9.92</v>
      </c>
      <c r="M12" s="295">
        <v>7008</v>
      </c>
      <c r="N12" s="295">
        <v>11.04</v>
      </c>
      <c r="O12" s="295">
        <v>7800</v>
      </c>
      <c r="P12" s="295">
        <v>10.199999999999999</v>
      </c>
      <c r="Q12" s="295">
        <v>7210</v>
      </c>
      <c r="R12" s="295">
        <v>10.47</v>
      </c>
      <c r="S12" s="295">
        <v>7402</v>
      </c>
      <c r="T12" s="295">
        <v>10.42</v>
      </c>
      <c r="U12" s="295">
        <v>7368</v>
      </c>
      <c r="V12" s="295">
        <f>(Conversions!$E$37/0.364)*0.96</f>
        <v>9.4945054945054945</v>
      </c>
      <c r="W12" s="295">
        <f>V12*Conversions!$E$32/Conversions!$E$43</f>
        <v>6715.7125773331136</v>
      </c>
      <c r="X12" s="295">
        <f>(Conversions!$E$37/0.376)*0.96</f>
        <v>9.1914893617021285</v>
      </c>
      <c r="Y12" s="295">
        <f>X12*Conversions!$E$32/Conversions!$E$43</f>
        <v>6501.3813248650358</v>
      </c>
      <c r="Z12" s="295">
        <f>(Conversions!$E$37/0.379)*0.96</f>
        <v>9.1187335092348292</v>
      </c>
      <c r="AA12" s="295">
        <f>Z12*Conversions!$E$32/Conversions!$E$43</f>
        <v>6449.9192035600363</v>
      </c>
      <c r="AB12" s="295">
        <f>(Conversions!$E$37/0.404)*0.96</f>
        <v>8.5544554455445532</v>
      </c>
      <c r="AC12" s="295">
        <f>AB12*Conversions!$E$32/Conversions!$E$43</f>
        <v>6050.7905399733982</v>
      </c>
    </row>
    <row r="13" spans="1:29">
      <c r="B13" s="295" t="s">
        <v>598</v>
      </c>
      <c r="C13" s="295"/>
      <c r="D13" s="295">
        <v>11.1</v>
      </c>
      <c r="E13" s="295">
        <v>7842</v>
      </c>
      <c r="F13" s="295">
        <v>11.77</v>
      </c>
      <c r="G13" s="295">
        <v>8318</v>
      </c>
      <c r="H13" s="295">
        <v>11.64</v>
      </c>
      <c r="I13" s="295">
        <v>8225</v>
      </c>
      <c r="J13" s="295">
        <v>11.14</v>
      </c>
      <c r="K13" s="295">
        <v>7874</v>
      </c>
      <c r="L13" s="295">
        <v>10.4</v>
      </c>
      <c r="M13" s="295">
        <v>7350</v>
      </c>
      <c r="N13" s="295">
        <v>11.27</v>
      </c>
      <c r="O13" s="295">
        <v>7964</v>
      </c>
      <c r="P13" s="295">
        <v>11.05</v>
      </c>
      <c r="Q13" s="295">
        <v>7813</v>
      </c>
      <c r="R13" s="295">
        <v>10.86</v>
      </c>
      <c r="S13" s="295">
        <v>7676</v>
      </c>
      <c r="T13" s="295">
        <v>10.84</v>
      </c>
      <c r="U13" s="295">
        <v>7665</v>
      </c>
      <c r="V13" s="295" t="s">
        <v>599</v>
      </c>
      <c r="W13" s="295" t="s">
        <v>599</v>
      </c>
      <c r="X13" s="295" t="s">
        <v>599</v>
      </c>
      <c r="Y13" s="295" t="s">
        <v>599</v>
      </c>
      <c r="Z13" s="295" t="s">
        <v>599</v>
      </c>
      <c r="AA13" s="295" t="s">
        <v>599</v>
      </c>
      <c r="AB13" s="295" t="s">
        <v>599</v>
      </c>
      <c r="AC13" s="295" t="s">
        <v>599</v>
      </c>
    </row>
    <row r="14" spans="1:29">
      <c r="B14" s="295" t="s">
        <v>600</v>
      </c>
      <c r="C14" s="295"/>
      <c r="D14" s="295" t="s">
        <v>599</v>
      </c>
      <c r="E14" s="295" t="s">
        <v>599</v>
      </c>
      <c r="F14" s="295" t="s">
        <v>599</v>
      </c>
      <c r="G14" s="295" t="s">
        <v>599</v>
      </c>
      <c r="H14" s="295" t="s">
        <v>599</v>
      </c>
      <c r="I14" s="295" t="s">
        <v>599</v>
      </c>
      <c r="J14" s="295" t="s">
        <v>599</v>
      </c>
      <c r="K14" s="295" t="s">
        <v>599</v>
      </c>
      <c r="L14" s="295" t="s">
        <v>599</v>
      </c>
      <c r="M14" s="295" t="s">
        <v>599</v>
      </c>
      <c r="N14" s="295" t="s">
        <v>599</v>
      </c>
      <c r="O14" s="295" t="s">
        <v>599</v>
      </c>
      <c r="P14" s="295" t="s">
        <v>599</v>
      </c>
      <c r="Q14" s="295" t="s">
        <v>599</v>
      </c>
      <c r="R14" s="295" t="s">
        <v>599</v>
      </c>
      <c r="S14" s="295" t="s">
        <v>599</v>
      </c>
      <c r="T14" s="295" t="s">
        <v>599</v>
      </c>
      <c r="U14" s="295" t="s">
        <v>599</v>
      </c>
      <c r="V14" s="295" t="s">
        <v>599</v>
      </c>
      <c r="W14" s="295" t="s">
        <v>599</v>
      </c>
      <c r="X14" s="295" t="s">
        <v>599</v>
      </c>
      <c r="Y14" s="295" t="s">
        <v>599</v>
      </c>
      <c r="Z14" s="295" t="s">
        <v>599</v>
      </c>
      <c r="AA14" s="295" t="s">
        <v>599</v>
      </c>
      <c r="AB14" s="295" t="s">
        <v>599</v>
      </c>
      <c r="AC14" s="295" t="s">
        <v>599</v>
      </c>
    </row>
    <row r="15" spans="1:29">
      <c r="B15" s="295" t="s">
        <v>601</v>
      </c>
      <c r="C15" s="295"/>
      <c r="D15" s="295">
        <f>MEDIAN(D12:D13)</f>
        <v>10.905000000000001</v>
      </c>
      <c r="E15" s="295">
        <f t="shared" ref="E15:U15" si="0">MEDIAN(E12:E13)</f>
        <v>7704.5</v>
      </c>
      <c r="F15" s="295">
        <f t="shared" si="0"/>
        <v>11.385</v>
      </c>
      <c r="G15" s="295">
        <f t="shared" si="0"/>
        <v>8046.5</v>
      </c>
      <c r="H15" s="295">
        <f t="shared" si="0"/>
        <v>11.175000000000001</v>
      </c>
      <c r="I15" s="295">
        <f t="shared" si="0"/>
        <v>7896.5</v>
      </c>
      <c r="J15" s="295">
        <f t="shared" si="0"/>
        <v>10.879999999999999</v>
      </c>
      <c r="K15" s="295">
        <f t="shared" si="0"/>
        <v>7690.5</v>
      </c>
      <c r="L15" s="295">
        <f t="shared" si="0"/>
        <v>10.16</v>
      </c>
      <c r="M15" s="295">
        <f t="shared" si="0"/>
        <v>7179</v>
      </c>
      <c r="N15" s="295">
        <f t="shared" si="0"/>
        <v>11.154999999999999</v>
      </c>
      <c r="O15" s="295">
        <f t="shared" si="0"/>
        <v>7882</v>
      </c>
      <c r="P15" s="295">
        <f t="shared" si="0"/>
        <v>10.625</v>
      </c>
      <c r="Q15" s="295">
        <f t="shared" si="0"/>
        <v>7511.5</v>
      </c>
      <c r="R15" s="295">
        <f t="shared" si="0"/>
        <v>10.664999999999999</v>
      </c>
      <c r="S15" s="295">
        <f t="shared" si="0"/>
        <v>7539</v>
      </c>
      <c r="T15" s="295">
        <f t="shared" si="0"/>
        <v>10.629999999999999</v>
      </c>
      <c r="U15" s="295">
        <f t="shared" si="0"/>
        <v>7516.5</v>
      </c>
      <c r="V15" s="295">
        <f t="shared" ref="V15:AC15" si="1">V12</f>
        <v>9.4945054945054945</v>
      </c>
      <c r="W15" s="295">
        <f t="shared" si="1"/>
        <v>6715.7125773331136</v>
      </c>
      <c r="X15" s="295">
        <f t="shared" si="1"/>
        <v>9.1914893617021285</v>
      </c>
      <c r="Y15" s="295">
        <f t="shared" si="1"/>
        <v>6501.3813248650358</v>
      </c>
      <c r="Z15" s="295">
        <f t="shared" si="1"/>
        <v>9.1187335092348292</v>
      </c>
      <c r="AA15" s="295">
        <f t="shared" si="1"/>
        <v>6449.9192035600363</v>
      </c>
      <c r="AB15" s="295">
        <f t="shared" si="1"/>
        <v>8.5544554455445532</v>
      </c>
      <c r="AC15" s="295">
        <f t="shared" si="1"/>
        <v>6050.7905399733982</v>
      </c>
    </row>
    <row r="16" spans="1:29" ht="15">
      <c r="B16" s="296" t="s">
        <v>602</v>
      </c>
      <c r="F16" s="297"/>
    </row>
    <row r="17" spans="2:22" ht="15">
      <c r="B17" s="298" t="s">
        <v>603</v>
      </c>
      <c r="F17" s="297"/>
    </row>
    <row r="18" spans="2:22" ht="15">
      <c r="B18" s="299" t="s">
        <v>604</v>
      </c>
      <c r="F18" s="297"/>
    </row>
    <row r="19" spans="2:22" ht="15">
      <c r="B19" s="300" t="s">
        <v>605</v>
      </c>
      <c r="F19" s="297"/>
      <c r="V19" s="299"/>
    </row>
    <row r="20" spans="2:22" ht="15">
      <c r="B20" s="300"/>
      <c r="F20" s="297"/>
      <c r="V20" s="299"/>
    </row>
    <row r="21" spans="2:22" ht="15">
      <c r="B21" s="300"/>
      <c r="F21" s="297"/>
      <c r="V21" s="299"/>
    </row>
    <row r="22" spans="2:22" ht="15">
      <c r="B22" s="291" t="s">
        <v>606</v>
      </c>
      <c r="F22" s="297"/>
    </row>
    <row r="23" spans="2:22">
      <c r="B23" s="292" t="s">
        <v>579</v>
      </c>
      <c r="C23" s="292"/>
      <c r="D23" s="292" t="s">
        <v>607</v>
      </c>
      <c r="E23" s="292"/>
      <c r="F23" s="292" t="s">
        <v>608</v>
      </c>
      <c r="G23" s="292"/>
      <c r="H23" s="292" t="s">
        <v>609</v>
      </c>
      <c r="I23" s="292"/>
      <c r="J23" s="292" t="s">
        <v>610</v>
      </c>
      <c r="K23" s="292"/>
      <c r="L23" s="292" t="s">
        <v>610</v>
      </c>
      <c r="M23" s="292"/>
      <c r="N23" s="292" t="s">
        <v>611</v>
      </c>
      <c r="O23" s="292"/>
      <c r="P23" s="292" t="s">
        <v>612</v>
      </c>
      <c r="Q23" s="292"/>
      <c r="R23" s="292" t="s">
        <v>613</v>
      </c>
      <c r="S23" s="292"/>
      <c r="T23" s="292" t="s">
        <v>614</v>
      </c>
      <c r="U23" s="292"/>
    </row>
    <row r="24" spans="2:22" ht="15">
      <c r="B24" s="301" t="s">
        <v>308</v>
      </c>
      <c r="C24" s="294"/>
      <c r="D24" s="295">
        <v>1590</v>
      </c>
      <c r="E24" s="295" t="s">
        <v>567</v>
      </c>
      <c r="F24" s="295">
        <v>4700</v>
      </c>
      <c r="G24" s="295" t="s">
        <v>567</v>
      </c>
      <c r="H24" s="295">
        <v>6130</v>
      </c>
      <c r="I24" s="295" t="s">
        <v>567</v>
      </c>
      <c r="J24" s="295">
        <v>7770</v>
      </c>
      <c r="K24" s="295" t="s">
        <v>567</v>
      </c>
      <c r="L24" s="295">
        <v>7770</v>
      </c>
      <c r="M24" s="295" t="s">
        <v>567</v>
      </c>
      <c r="N24" s="295">
        <v>10915</v>
      </c>
      <c r="O24" s="295" t="s">
        <v>567</v>
      </c>
      <c r="P24" s="295">
        <v>13220</v>
      </c>
      <c r="Q24" s="295" t="s">
        <v>567</v>
      </c>
      <c r="R24" s="295">
        <v>15900</v>
      </c>
      <c r="S24" s="295" t="s">
        <v>567</v>
      </c>
      <c r="T24" s="295">
        <v>20500</v>
      </c>
      <c r="U24" s="295" t="s">
        <v>567</v>
      </c>
    </row>
    <row r="25" spans="2:22" ht="15">
      <c r="B25" s="301" t="s">
        <v>593</v>
      </c>
      <c r="C25" s="295"/>
      <c r="D25" s="295" t="s">
        <v>615</v>
      </c>
      <c r="E25" s="295" t="s">
        <v>616</v>
      </c>
      <c r="F25" s="295" t="s">
        <v>615</v>
      </c>
      <c r="G25" s="295" t="s">
        <v>616</v>
      </c>
      <c r="H25" s="295" t="s">
        <v>615</v>
      </c>
      <c r="I25" s="295" t="s">
        <v>616</v>
      </c>
      <c r="J25" s="295" t="s">
        <v>615</v>
      </c>
      <c r="K25" s="295" t="s">
        <v>616</v>
      </c>
      <c r="L25" s="295" t="s">
        <v>615</v>
      </c>
      <c r="M25" s="295" t="s">
        <v>616</v>
      </c>
      <c r="N25" s="295" t="s">
        <v>615</v>
      </c>
      <c r="O25" s="295" t="s">
        <v>616</v>
      </c>
      <c r="P25" s="295" t="s">
        <v>615</v>
      </c>
      <c r="Q25" s="295" t="s">
        <v>616</v>
      </c>
      <c r="R25" s="295" t="s">
        <v>615</v>
      </c>
      <c r="S25" s="295" t="s">
        <v>616</v>
      </c>
      <c r="T25" s="295" t="s">
        <v>615</v>
      </c>
      <c r="U25" s="295" t="s">
        <v>616</v>
      </c>
    </row>
    <row r="26" spans="2:22" ht="15">
      <c r="B26" s="301" t="s">
        <v>597</v>
      </c>
      <c r="C26" s="295"/>
      <c r="D26" s="295">
        <v>14.67</v>
      </c>
      <c r="E26" s="295">
        <v>10370</v>
      </c>
      <c r="F26" s="295">
        <v>12.904999999999999</v>
      </c>
      <c r="G26" s="295">
        <v>9125</v>
      </c>
      <c r="H26" s="295">
        <v>12.03</v>
      </c>
      <c r="I26" s="295">
        <v>8500</v>
      </c>
      <c r="J26" s="295">
        <v>11.26</v>
      </c>
      <c r="K26" s="295">
        <v>7965</v>
      </c>
      <c r="L26" s="295">
        <v>11.26</v>
      </c>
      <c r="M26" s="295">
        <v>7965</v>
      </c>
      <c r="N26" s="295">
        <v>10.19</v>
      </c>
      <c r="O26" s="295">
        <v>7205</v>
      </c>
      <c r="P26" s="295">
        <v>10.83</v>
      </c>
      <c r="Q26" s="295">
        <v>7655</v>
      </c>
      <c r="R26" s="295">
        <v>10.46</v>
      </c>
      <c r="S26" s="295">
        <v>7395</v>
      </c>
      <c r="T26" s="295">
        <v>9.94</v>
      </c>
      <c r="U26" s="295">
        <v>7025</v>
      </c>
    </row>
    <row r="27" spans="2:22" ht="15">
      <c r="B27" s="301" t="s">
        <v>598</v>
      </c>
      <c r="C27" s="295"/>
      <c r="D27" s="295" t="s">
        <v>599</v>
      </c>
      <c r="E27" s="295" t="s">
        <v>599</v>
      </c>
      <c r="F27" s="295" t="s">
        <v>599</v>
      </c>
      <c r="G27" s="295" t="s">
        <v>599</v>
      </c>
      <c r="H27" s="295" t="s">
        <v>599</v>
      </c>
      <c r="I27" s="295" t="s">
        <v>599</v>
      </c>
      <c r="J27" s="295" t="s">
        <v>599</v>
      </c>
      <c r="K27" s="295" t="s">
        <v>599</v>
      </c>
      <c r="L27" s="295" t="s">
        <v>599</v>
      </c>
      <c r="M27" s="295" t="s">
        <v>599</v>
      </c>
      <c r="N27" s="295" t="s">
        <v>599</v>
      </c>
      <c r="O27" s="295" t="s">
        <v>599</v>
      </c>
      <c r="P27" s="295" t="s">
        <v>599</v>
      </c>
      <c r="Q27" s="295" t="s">
        <v>599</v>
      </c>
      <c r="R27" s="295" t="s">
        <v>599</v>
      </c>
      <c r="S27" s="295" t="s">
        <v>599</v>
      </c>
      <c r="T27" s="295" t="s">
        <v>599</v>
      </c>
      <c r="U27" s="295" t="s">
        <v>599</v>
      </c>
    </row>
    <row r="28" spans="2:22" ht="15">
      <c r="B28" s="301" t="s">
        <v>600</v>
      </c>
      <c r="C28" s="295"/>
      <c r="D28" s="295" t="s">
        <v>599</v>
      </c>
      <c r="E28" s="295" t="s">
        <v>599</v>
      </c>
      <c r="F28" s="295" t="s">
        <v>599</v>
      </c>
      <c r="G28" s="295" t="s">
        <v>599</v>
      </c>
      <c r="H28" s="295" t="s">
        <v>599</v>
      </c>
      <c r="I28" s="295" t="s">
        <v>599</v>
      </c>
      <c r="J28" s="295" t="s">
        <v>599</v>
      </c>
      <c r="K28" s="295" t="s">
        <v>599</v>
      </c>
      <c r="L28" s="295" t="s">
        <v>599</v>
      </c>
      <c r="M28" s="295" t="s">
        <v>599</v>
      </c>
      <c r="N28" s="295" t="s">
        <v>599</v>
      </c>
      <c r="O28" s="295" t="s">
        <v>599</v>
      </c>
      <c r="P28" s="295" t="s">
        <v>599</v>
      </c>
      <c r="Q28" s="295" t="s">
        <v>599</v>
      </c>
      <c r="R28" s="295" t="s">
        <v>599</v>
      </c>
      <c r="S28" s="295" t="s">
        <v>599</v>
      </c>
      <c r="T28" s="295" t="s">
        <v>599</v>
      </c>
      <c r="U28" s="295" t="s">
        <v>599</v>
      </c>
    </row>
    <row r="29" spans="2:22" ht="15">
      <c r="B29" s="301" t="s">
        <v>617</v>
      </c>
      <c r="C29" s="295"/>
      <c r="D29" s="295">
        <f>D26</f>
        <v>14.67</v>
      </c>
      <c r="E29" s="295">
        <f t="shared" ref="E29:U29" si="2">E26</f>
        <v>10370</v>
      </c>
      <c r="F29" s="295">
        <f t="shared" si="2"/>
        <v>12.904999999999999</v>
      </c>
      <c r="G29" s="295">
        <f t="shared" si="2"/>
        <v>9125</v>
      </c>
      <c r="H29" s="295">
        <f t="shared" si="2"/>
        <v>12.03</v>
      </c>
      <c r="I29" s="295">
        <f t="shared" si="2"/>
        <v>8500</v>
      </c>
      <c r="J29" s="295">
        <f t="shared" si="2"/>
        <v>11.26</v>
      </c>
      <c r="K29" s="295">
        <f t="shared" si="2"/>
        <v>7965</v>
      </c>
      <c r="L29" s="295">
        <f t="shared" si="2"/>
        <v>11.26</v>
      </c>
      <c r="M29" s="295">
        <f t="shared" si="2"/>
        <v>7965</v>
      </c>
      <c r="N29" s="295">
        <f t="shared" si="2"/>
        <v>10.19</v>
      </c>
      <c r="O29" s="295">
        <f t="shared" si="2"/>
        <v>7205</v>
      </c>
      <c r="P29" s="295">
        <f t="shared" si="2"/>
        <v>10.83</v>
      </c>
      <c r="Q29" s="295">
        <f t="shared" si="2"/>
        <v>7655</v>
      </c>
      <c r="R29" s="295">
        <f t="shared" si="2"/>
        <v>10.46</v>
      </c>
      <c r="S29" s="295">
        <f t="shared" si="2"/>
        <v>7395</v>
      </c>
      <c r="T29" s="295">
        <f t="shared" si="2"/>
        <v>9.94</v>
      </c>
      <c r="U29" s="295">
        <f t="shared" si="2"/>
        <v>7025</v>
      </c>
    </row>
    <row r="30" spans="2:22" ht="15">
      <c r="B30" s="298" t="s">
        <v>618</v>
      </c>
    </row>
    <row r="31" spans="2:22" ht="15">
      <c r="B31" s="298" t="s">
        <v>619</v>
      </c>
    </row>
    <row r="32" spans="2:22" ht="15">
      <c r="B32" s="298" t="s">
        <v>604</v>
      </c>
    </row>
    <row r="34" spans="2:29" ht="15">
      <c r="B34" s="291" t="s">
        <v>620</v>
      </c>
    </row>
    <row r="35" spans="2:29" ht="15.75">
      <c r="B35" s="302" t="s">
        <v>579</v>
      </c>
      <c r="C35" s="292"/>
      <c r="D35" s="292" t="s">
        <v>621</v>
      </c>
      <c r="E35" s="292"/>
      <c r="F35" s="292" t="s">
        <v>622</v>
      </c>
      <c r="G35" s="292"/>
      <c r="H35" s="292" t="s">
        <v>623</v>
      </c>
      <c r="I35" s="292"/>
      <c r="J35" s="292">
        <v>3512</v>
      </c>
      <c r="K35" s="292"/>
      <c r="L35" s="292" t="s">
        <v>624</v>
      </c>
      <c r="M35" s="292"/>
      <c r="N35" s="292" t="s">
        <v>625</v>
      </c>
      <c r="O35" s="292"/>
      <c r="P35" s="292">
        <v>3516</v>
      </c>
      <c r="Q35" s="292"/>
      <c r="R35" s="292" t="s">
        <v>626</v>
      </c>
      <c r="S35" s="292"/>
      <c r="T35" s="292" t="s">
        <v>627</v>
      </c>
      <c r="U35" s="292"/>
    </row>
    <row r="36" spans="2:29">
      <c r="B36" s="293" t="s">
        <v>308</v>
      </c>
      <c r="C36" s="294"/>
      <c r="D36" s="295">
        <f>(275/0.96)*Conversions!$E$43</f>
        <v>383.85416666666674</v>
      </c>
      <c r="E36" s="295" t="s">
        <v>567</v>
      </c>
      <c r="F36" s="295">
        <f>(545/0.96)*Conversions!$E$43</f>
        <v>760.72916666666674</v>
      </c>
      <c r="G36" s="295" t="s">
        <v>567</v>
      </c>
      <c r="H36" s="295">
        <f>(648/0.96)*Conversions!$E$43</f>
        <v>904.5</v>
      </c>
      <c r="I36" s="295" t="s">
        <v>567</v>
      </c>
      <c r="J36" s="295">
        <f>(1020/0.96)*Conversions!$E$43</f>
        <v>1423.75</v>
      </c>
      <c r="K36" s="295" t="s">
        <v>567</v>
      </c>
      <c r="L36" s="295">
        <f>(1200/0.96)*Conversions!$E$43</f>
        <v>1675</v>
      </c>
      <c r="M36" s="295" t="s">
        <v>567</v>
      </c>
      <c r="N36" s="295">
        <f>(1360/0.96)*Conversions!$E$43</f>
        <v>1898.3333333333335</v>
      </c>
      <c r="O36" s="295" t="s">
        <v>567</v>
      </c>
      <c r="P36" s="295">
        <f>(1460/0.96)*Conversions!$E$43</f>
        <v>2037.916666666667</v>
      </c>
      <c r="Q36" s="295" t="s">
        <v>567</v>
      </c>
      <c r="R36" s="295">
        <f>(1600/0.96)*Conversions!$E$43</f>
        <v>2233.3333333333335</v>
      </c>
      <c r="S36" s="295" t="s">
        <v>567</v>
      </c>
      <c r="T36" s="295">
        <f>(2000/0.96)*Conversions!$E$43</f>
        <v>2791.666666666667</v>
      </c>
      <c r="U36" s="295" t="s">
        <v>567</v>
      </c>
    </row>
    <row r="37" spans="2:29">
      <c r="B37" s="295" t="s">
        <v>593</v>
      </c>
      <c r="C37" s="295"/>
      <c r="D37" s="295" t="s">
        <v>615</v>
      </c>
      <c r="E37" s="295" t="s">
        <v>616</v>
      </c>
      <c r="F37" s="295" t="s">
        <v>615</v>
      </c>
      <c r="G37" s="295" t="s">
        <v>616</v>
      </c>
      <c r="H37" s="295" t="s">
        <v>615</v>
      </c>
      <c r="I37" s="295" t="s">
        <v>616</v>
      </c>
      <c r="J37" s="295" t="s">
        <v>615</v>
      </c>
      <c r="K37" s="295" t="s">
        <v>616</v>
      </c>
      <c r="L37" s="295" t="s">
        <v>615</v>
      </c>
      <c r="M37" s="295" t="s">
        <v>616</v>
      </c>
      <c r="N37" s="295" t="s">
        <v>615</v>
      </c>
      <c r="O37" s="295" t="s">
        <v>616</v>
      </c>
      <c r="P37" s="295" t="s">
        <v>615</v>
      </c>
      <c r="Q37" s="295" t="s">
        <v>616</v>
      </c>
      <c r="R37" s="295" t="s">
        <v>615</v>
      </c>
      <c r="S37" s="295" t="s">
        <v>616</v>
      </c>
      <c r="T37" s="295" t="s">
        <v>615</v>
      </c>
      <c r="U37" s="295" t="s">
        <v>616</v>
      </c>
    </row>
    <row r="38" spans="2:29">
      <c r="B38" s="295" t="s">
        <v>597</v>
      </c>
      <c r="C38" s="295"/>
      <c r="D38" s="295">
        <v>9.9349339549090896</v>
      </c>
      <c r="E38" s="295">
        <v>7027.2781546811384</v>
      </c>
      <c r="F38" s="295">
        <v>9.5247761310825663</v>
      </c>
      <c r="G38" s="295">
        <v>6737.1611666438439</v>
      </c>
      <c r="H38" s="295">
        <v>9.115053676296295</v>
      </c>
      <c r="I38" s="295">
        <v>6447.3521282476504</v>
      </c>
      <c r="J38" s="295">
        <v>8.9156987837647055</v>
      </c>
      <c r="K38" s="295">
        <v>6306.3424056189642</v>
      </c>
      <c r="L38" s="295">
        <v>8.8468221407999987</v>
      </c>
      <c r="M38" s="295">
        <v>6257.6238805970152</v>
      </c>
      <c r="N38" s="295">
        <v>8.7052423747058807</v>
      </c>
      <c r="O38" s="295">
        <v>6157.4802458296745</v>
      </c>
      <c r="P38" s="295">
        <v>9.0090019987397252</v>
      </c>
      <c r="Q38" s="295">
        <v>6372.3385810672653</v>
      </c>
      <c r="R38" s="295">
        <v>8.4321273529499994</v>
      </c>
      <c r="S38" s="295">
        <v>5964.2977611940296</v>
      </c>
      <c r="T38" s="295">
        <v>8.8793472221999981</v>
      </c>
      <c r="U38" s="295">
        <v>6280.6298507462679</v>
      </c>
    </row>
    <row r="39" spans="2:29">
      <c r="B39" s="295" t="s">
        <v>598</v>
      </c>
      <c r="C39" s="295"/>
      <c r="D39" s="295">
        <v>10.281868156509088</v>
      </c>
      <c r="E39" s="295">
        <v>7272.6751696065112</v>
      </c>
      <c r="F39" s="295">
        <v>10.376197222165137</v>
      </c>
      <c r="G39" s="295">
        <v>7339.3969601533618</v>
      </c>
      <c r="H39" s="295">
        <v>9.2087473264197541</v>
      </c>
      <c r="I39" s="295">
        <v>6513.624470241386</v>
      </c>
      <c r="J39" s="295">
        <v>9.1325326597647045</v>
      </c>
      <c r="K39" s="295">
        <v>6459.7155399473222</v>
      </c>
      <c r="L39" s="295">
        <v>8.8757333242666654</v>
      </c>
      <c r="M39" s="295">
        <v>6278.0736318407962</v>
      </c>
      <c r="N39" s="295">
        <v>8.7626395771764702</v>
      </c>
      <c r="O39" s="295">
        <v>6198.0790166812994</v>
      </c>
      <c r="P39" s="295">
        <v>9.1604886792328752</v>
      </c>
      <c r="Q39" s="295">
        <v>6479.4896749131049</v>
      </c>
      <c r="R39" s="295">
        <v>8.5215713267999984</v>
      </c>
      <c r="S39" s="295">
        <v>6027.5641791044773</v>
      </c>
      <c r="T39" s="295">
        <v>9.1677362772799995</v>
      </c>
      <c r="U39" s="295">
        <v>6484.6161194029846</v>
      </c>
    </row>
    <row r="40" spans="2:29">
      <c r="B40" s="295" t="s">
        <v>600</v>
      </c>
      <c r="C40" s="295"/>
      <c r="D40" s="295">
        <v>11.164973396945451</v>
      </c>
      <c r="E40" s="295">
        <v>7897.322116689279</v>
      </c>
      <c r="F40" s="295">
        <v>11.267404345541284</v>
      </c>
      <c r="G40" s="295">
        <v>7969.7746131726681</v>
      </c>
      <c r="H40" s="295">
        <v>9.6370611555555552</v>
      </c>
      <c r="I40" s="295">
        <v>6816.5837479270313</v>
      </c>
      <c r="J40" s="295">
        <v>9.4896708084705885</v>
      </c>
      <c r="K40" s="295">
        <v>6712.3301141352067</v>
      </c>
      <c r="L40" s="295">
        <v>9.3021732803999999</v>
      </c>
      <c r="M40" s="295">
        <v>6579.7074626865669</v>
      </c>
      <c r="N40" s="295">
        <v>9.1644199944705882</v>
      </c>
      <c r="O40" s="295">
        <v>6482.2704126426688</v>
      </c>
      <c r="P40" s="295">
        <v>9.855545213260271</v>
      </c>
      <c r="Q40" s="295">
        <v>6971.1241054998964</v>
      </c>
      <c r="R40" s="295">
        <v>8.9606599256999981</v>
      </c>
      <c r="S40" s="295">
        <v>6338.1447761194022</v>
      </c>
      <c r="T40" s="295">
        <v>9.8746147130399979</v>
      </c>
      <c r="U40" s="295">
        <v>6984.6125373134319</v>
      </c>
    </row>
    <row r="41" spans="2:29">
      <c r="B41" s="295" t="s">
        <v>601</v>
      </c>
      <c r="C41" s="295"/>
      <c r="D41" s="295">
        <v>10.281868156509088</v>
      </c>
      <c r="E41" s="295">
        <v>7272.6751696065112</v>
      </c>
      <c r="F41" s="295">
        <v>10.376197222165137</v>
      </c>
      <c r="G41" s="295">
        <v>7339.3969601533618</v>
      </c>
      <c r="H41" s="295">
        <v>9.2087473264197541</v>
      </c>
      <c r="I41" s="295">
        <v>6513.624470241386</v>
      </c>
      <c r="J41" s="295">
        <v>9.1325326597647045</v>
      </c>
      <c r="K41" s="295">
        <v>6459.7155399473222</v>
      </c>
      <c r="L41" s="295">
        <v>8.8757333242666654</v>
      </c>
      <c r="M41" s="295">
        <v>6278.0736318407962</v>
      </c>
      <c r="N41" s="295">
        <v>8.7626395771764702</v>
      </c>
      <c r="O41" s="295">
        <v>6198.0790166812994</v>
      </c>
      <c r="P41" s="295">
        <v>9.1604886792328752</v>
      </c>
      <c r="Q41" s="295">
        <v>6479.4896749131049</v>
      </c>
      <c r="R41" s="295">
        <v>8.5215713267999984</v>
      </c>
      <c r="S41" s="295">
        <v>6027.5641791044773</v>
      </c>
      <c r="T41" s="295">
        <v>9.1677362772799995</v>
      </c>
      <c r="U41" s="295">
        <v>6484.6161194029846</v>
      </c>
    </row>
    <row r="42" spans="2:29" ht="12.95" customHeight="1">
      <c r="B42" s="296" t="s">
        <v>628</v>
      </c>
    </row>
    <row r="43" spans="2:29" ht="12.95" customHeight="1">
      <c r="B43" s="296" t="s">
        <v>629</v>
      </c>
    </row>
    <row r="44" spans="2:29" ht="12.95" customHeight="1">
      <c r="B44" s="296" t="s">
        <v>604</v>
      </c>
    </row>
    <row r="45" spans="2:29" ht="15">
      <c r="B45" s="299"/>
    </row>
    <row r="46" spans="2:29" ht="15">
      <c r="B46" s="303" t="s">
        <v>630</v>
      </c>
    </row>
    <row r="47" spans="2:29" ht="15.75">
      <c r="B47" s="302" t="s">
        <v>579</v>
      </c>
      <c r="C47" s="292"/>
      <c r="D47" s="292" t="s">
        <v>631</v>
      </c>
      <c r="E47" s="292"/>
      <c r="F47" s="292" t="s">
        <v>632</v>
      </c>
      <c r="G47" s="292"/>
      <c r="H47" s="292" t="s">
        <v>633</v>
      </c>
      <c r="I47" s="292"/>
      <c r="J47" s="292" t="s">
        <v>634</v>
      </c>
      <c r="K47" s="292"/>
      <c r="L47" s="292" t="s">
        <v>635</v>
      </c>
      <c r="M47" s="292"/>
      <c r="N47" s="292" t="s">
        <v>636</v>
      </c>
      <c r="O47" s="292"/>
      <c r="P47" s="292" t="s">
        <v>637</v>
      </c>
      <c r="Q47" s="292"/>
      <c r="R47" s="292" t="s">
        <v>638</v>
      </c>
      <c r="S47" s="292"/>
      <c r="T47" s="292" t="s">
        <v>639</v>
      </c>
      <c r="U47" s="292"/>
      <c r="V47" s="292" t="s">
        <v>639</v>
      </c>
      <c r="W47" s="292"/>
      <c r="X47" s="292" t="s">
        <v>639</v>
      </c>
      <c r="Y47" s="292"/>
      <c r="Z47" s="292" t="s">
        <v>639</v>
      </c>
      <c r="AA47" s="292"/>
      <c r="AB47" s="292" t="s">
        <v>639</v>
      </c>
      <c r="AC47" s="292"/>
    </row>
    <row r="48" spans="2:29">
      <c r="B48" s="293" t="s">
        <v>308</v>
      </c>
      <c r="C48" s="294"/>
      <c r="D48" s="295">
        <v>1.4740000000000002</v>
      </c>
      <c r="E48" s="295" t="s">
        <v>567</v>
      </c>
      <c r="F48" s="295">
        <v>5.36</v>
      </c>
      <c r="G48" s="295" t="s">
        <v>567</v>
      </c>
      <c r="H48" s="295">
        <v>14.74</v>
      </c>
      <c r="I48" s="295" t="s">
        <v>567</v>
      </c>
      <c r="J48" s="295">
        <v>20.100000000000001</v>
      </c>
      <c r="K48" s="295" t="s">
        <v>567</v>
      </c>
      <c r="L48" s="295">
        <v>29.48</v>
      </c>
      <c r="M48" s="295" t="s">
        <v>567</v>
      </c>
      <c r="N48" s="295">
        <v>73.7</v>
      </c>
      <c r="O48" s="295" t="s">
        <v>567</v>
      </c>
      <c r="P48" s="295">
        <v>147.4</v>
      </c>
      <c r="Q48" s="295" t="s">
        <v>567</v>
      </c>
      <c r="R48" s="295">
        <v>294.8</v>
      </c>
      <c r="S48" s="295" t="s">
        <v>567</v>
      </c>
      <c r="T48" s="295">
        <v>469</v>
      </c>
      <c r="U48" s="295" t="s">
        <v>567</v>
      </c>
      <c r="V48" s="295">
        <v>536</v>
      </c>
      <c r="W48" s="295" t="s">
        <v>567</v>
      </c>
      <c r="X48" s="295">
        <v>603</v>
      </c>
      <c r="Y48" s="295" t="s">
        <v>567</v>
      </c>
      <c r="Z48" s="295">
        <v>670</v>
      </c>
      <c r="AA48" s="295" t="s">
        <v>567</v>
      </c>
      <c r="AB48" s="295">
        <v>804</v>
      </c>
      <c r="AC48" s="295" t="s">
        <v>567</v>
      </c>
    </row>
    <row r="49" spans="2:29">
      <c r="B49" s="295" t="s">
        <v>593</v>
      </c>
      <c r="C49" s="295"/>
      <c r="D49" s="295" t="s">
        <v>615</v>
      </c>
      <c r="E49" s="295" t="s">
        <v>616</v>
      </c>
      <c r="F49" s="295" t="s">
        <v>615</v>
      </c>
      <c r="G49" s="295" t="s">
        <v>616</v>
      </c>
      <c r="H49" s="295" t="s">
        <v>615</v>
      </c>
      <c r="I49" s="295" t="s">
        <v>616</v>
      </c>
      <c r="J49" s="295" t="s">
        <v>615</v>
      </c>
      <c r="K49" s="295" t="s">
        <v>616</v>
      </c>
      <c r="L49" s="295" t="s">
        <v>615</v>
      </c>
      <c r="M49" s="295" t="s">
        <v>616</v>
      </c>
      <c r="N49" s="295" t="s">
        <v>615</v>
      </c>
      <c r="O49" s="295" t="s">
        <v>616</v>
      </c>
      <c r="P49" s="295" t="s">
        <v>615</v>
      </c>
      <c r="Q49" s="295" t="s">
        <v>616</v>
      </c>
      <c r="R49" s="295" t="s">
        <v>615</v>
      </c>
      <c r="S49" s="295" t="s">
        <v>616</v>
      </c>
      <c r="T49" s="295" t="s">
        <v>615</v>
      </c>
      <c r="U49" s="295" t="s">
        <v>616</v>
      </c>
      <c r="V49" s="295" t="s">
        <v>615</v>
      </c>
      <c r="W49" s="295" t="s">
        <v>616</v>
      </c>
      <c r="X49" s="295" t="s">
        <v>615</v>
      </c>
      <c r="Y49" s="295" t="s">
        <v>616</v>
      </c>
      <c r="Z49" s="295" t="s">
        <v>615</v>
      </c>
      <c r="AA49" s="295" t="s">
        <v>616</v>
      </c>
      <c r="AB49" s="295" t="s">
        <v>615</v>
      </c>
      <c r="AC49" s="295" t="s">
        <v>616</v>
      </c>
    </row>
    <row r="50" spans="2:29">
      <c r="B50" s="295" t="s">
        <v>597</v>
      </c>
      <c r="C50" s="295"/>
      <c r="D50" s="295">
        <v>4.2959427207637235</v>
      </c>
      <c r="E50" s="295">
        <v>3038.6328785665942</v>
      </c>
      <c r="F50" s="295">
        <v>4.0677966101694913</v>
      </c>
      <c r="G50" s="295">
        <v>2877.2591550720963</v>
      </c>
      <c r="H50" s="295">
        <v>3.9473684210526314</v>
      </c>
      <c r="I50" s="295">
        <v>2792.0771406127255</v>
      </c>
      <c r="J50" s="295">
        <v>3.9173014145810665</v>
      </c>
      <c r="K50" s="295">
        <v>2770.8099589105614</v>
      </c>
      <c r="L50" s="295">
        <v>3.883495145631068</v>
      </c>
      <c r="M50" s="295">
        <v>2746.8978988552381</v>
      </c>
      <c r="N50" s="295">
        <v>3.8176033934252387</v>
      </c>
      <c r="O50" s="295">
        <v>2700.2909355660718</v>
      </c>
      <c r="P50" s="295">
        <v>3.777544596012592</v>
      </c>
      <c r="Q50" s="295">
        <v>2671.9562982568791</v>
      </c>
      <c r="R50" s="295">
        <v>3.7656903765690379</v>
      </c>
      <c r="S50" s="295">
        <v>2663.5714981577466</v>
      </c>
      <c r="T50" s="295">
        <v>3.757828810020877</v>
      </c>
      <c r="U50" s="295">
        <v>2658.0108060947869</v>
      </c>
      <c r="V50" s="295">
        <v>3.757828810020877</v>
      </c>
      <c r="W50" s="295">
        <v>2658.0108060947869</v>
      </c>
      <c r="X50" s="295">
        <v>3.757828810020877</v>
      </c>
      <c r="Y50" s="295">
        <v>2658.0108060947869</v>
      </c>
      <c r="Z50" s="295">
        <v>3.757828810020877</v>
      </c>
      <c r="AA50" s="295">
        <v>2658.0108060947869</v>
      </c>
      <c r="AB50" s="295">
        <v>3.757828810020877</v>
      </c>
      <c r="AC50" s="295">
        <v>2658.0108060947869</v>
      </c>
    </row>
    <row r="51" spans="2:29">
      <c r="B51" s="295" t="s">
        <v>598</v>
      </c>
      <c r="C51" s="295"/>
      <c r="D51" s="295" t="s">
        <v>599</v>
      </c>
      <c r="E51" s="295" t="s">
        <v>599</v>
      </c>
      <c r="F51" s="295" t="s">
        <v>599</v>
      </c>
      <c r="G51" s="295" t="s">
        <v>599</v>
      </c>
      <c r="H51" s="295" t="s">
        <v>599</v>
      </c>
      <c r="I51" s="295" t="s">
        <v>599</v>
      </c>
      <c r="J51" s="295" t="s">
        <v>599</v>
      </c>
      <c r="K51" s="295" t="s">
        <v>599</v>
      </c>
      <c r="L51" s="295" t="s">
        <v>599</v>
      </c>
      <c r="M51" s="295" t="s">
        <v>599</v>
      </c>
      <c r="N51" s="295" t="s">
        <v>599</v>
      </c>
      <c r="O51" s="295" t="s">
        <v>599</v>
      </c>
      <c r="P51" s="295" t="s">
        <v>599</v>
      </c>
      <c r="Q51" s="295" t="s">
        <v>599</v>
      </c>
      <c r="R51" s="295" t="s">
        <v>599</v>
      </c>
      <c r="S51" s="295" t="s">
        <v>599</v>
      </c>
      <c r="T51" s="295">
        <v>3.7656903765690379</v>
      </c>
      <c r="U51" s="295">
        <v>2663.5714981577466</v>
      </c>
      <c r="V51" s="295">
        <v>3.7656903765690379</v>
      </c>
      <c r="W51" s="295">
        <v>2663.5714981577466</v>
      </c>
      <c r="X51" s="295">
        <v>3.757828810020877</v>
      </c>
      <c r="Y51" s="295">
        <v>2658.0108060947869</v>
      </c>
      <c r="Z51" s="295">
        <v>3.7500000000000004</v>
      </c>
      <c r="AA51" s="295">
        <v>2652.4732835820896</v>
      </c>
      <c r="AB51" s="295">
        <v>3.7344398340248963</v>
      </c>
      <c r="AC51" s="295">
        <v>2641.4671703722051</v>
      </c>
    </row>
    <row r="52" spans="2:29">
      <c r="B52" s="295" t="s">
        <v>600</v>
      </c>
      <c r="C52" s="295"/>
      <c r="D52" s="295" t="s">
        <v>599</v>
      </c>
      <c r="E52" s="295" t="s">
        <v>599</v>
      </c>
      <c r="F52" s="295" t="s">
        <v>599</v>
      </c>
      <c r="G52" s="295" t="s">
        <v>599</v>
      </c>
      <c r="H52" s="295" t="s">
        <v>599</v>
      </c>
      <c r="I52" s="295" t="s">
        <v>599</v>
      </c>
      <c r="J52" s="295" t="s">
        <v>599</v>
      </c>
      <c r="K52" s="295" t="s">
        <v>599</v>
      </c>
      <c r="L52" s="295" t="s">
        <v>599</v>
      </c>
      <c r="M52" s="295" t="s">
        <v>599</v>
      </c>
      <c r="N52" s="295" t="s">
        <v>599</v>
      </c>
      <c r="O52" s="295" t="s">
        <v>599</v>
      </c>
      <c r="P52" s="295" t="s">
        <v>599</v>
      </c>
      <c r="Q52" s="295" t="s">
        <v>599</v>
      </c>
      <c r="R52" s="295" t="s">
        <v>599</v>
      </c>
      <c r="S52" s="295" t="s">
        <v>599</v>
      </c>
      <c r="T52" s="295">
        <v>3.7934668071654376</v>
      </c>
      <c r="U52" s="295">
        <v>2683.218495509806</v>
      </c>
      <c r="V52" s="295">
        <v>3.7934668071654376</v>
      </c>
      <c r="W52" s="295">
        <v>2683.218495509806</v>
      </c>
      <c r="X52" s="295">
        <v>3.8216560509554145</v>
      </c>
      <c r="Y52" s="295">
        <v>2703.1574864530849</v>
      </c>
      <c r="Z52" s="295">
        <v>3.7696335078534036</v>
      </c>
      <c r="AA52" s="295">
        <v>2666.3605782605296</v>
      </c>
      <c r="AB52" s="295">
        <v>3.7460978147762751</v>
      </c>
      <c r="AC52" s="295">
        <v>2649.713165701151</v>
      </c>
    </row>
    <row r="53" spans="2:29">
      <c r="B53" s="295" t="s">
        <v>601</v>
      </c>
      <c r="C53" s="295"/>
      <c r="D53" s="295">
        <v>4.2959427207637235</v>
      </c>
      <c r="E53" s="295">
        <v>3038.6328785665942</v>
      </c>
      <c r="F53" s="295">
        <v>4.0677966101694913</v>
      </c>
      <c r="G53" s="295">
        <v>2877.2591550720963</v>
      </c>
      <c r="H53" s="295">
        <v>3.9473684210526314</v>
      </c>
      <c r="I53" s="295">
        <v>2792.0771406127255</v>
      </c>
      <c r="J53" s="295">
        <v>3.9173014145810665</v>
      </c>
      <c r="K53" s="295">
        <v>2770.8099589105614</v>
      </c>
      <c r="L53" s="295">
        <v>3.883495145631068</v>
      </c>
      <c r="M53" s="295">
        <v>2746.8978988552381</v>
      </c>
      <c r="N53" s="295">
        <v>3.8176033934252387</v>
      </c>
      <c r="O53" s="295">
        <v>2700.2909355660718</v>
      </c>
      <c r="P53" s="295">
        <v>3.777544596012592</v>
      </c>
      <c r="Q53" s="295">
        <v>2671.9562982568791</v>
      </c>
      <c r="R53" s="295">
        <v>3.7656903765690379</v>
      </c>
      <c r="S53" s="295">
        <v>2663.5714981577466</v>
      </c>
      <c r="T53" s="295">
        <v>3.7656903765690379</v>
      </c>
      <c r="U53" s="295">
        <v>2663.5714981577466</v>
      </c>
      <c r="V53" s="295">
        <v>3.7656903765690379</v>
      </c>
      <c r="W53" s="295">
        <v>2663.5714981577466</v>
      </c>
      <c r="X53" s="295">
        <v>3.757828810020877</v>
      </c>
      <c r="Y53" s="295">
        <v>2658.0108060947869</v>
      </c>
      <c r="Z53" s="295">
        <v>3.757828810020877</v>
      </c>
      <c r="AA53" s="295">
        <v>2658.0108060947869</v>
      </c>
      <c r="AB53" s="295">
        <v>3.7460978147762751</v>
      </c>
      <c r="AC53" s="295">
        <v>2649.713165701151</v>
      </c>
    </row>
    <row r="54" spans="2:29">
      <c r="B54" s="295" t="s">
        <v>640</v>
      </c>
      <c r="C54" s="295"/>
      <c r="D54" s="295"/>
      <c r="E54" s="295">
        <v>0.89053044959213479</v>
      </c>
      <c r="F54" s="295"/>
      <c r="G54" s="295">
        <v>0.84323674209967081</v>
      </c>
      <c r="H54" s="295"/>
      <c r="I54" s="295">
        <v>0.81827249644540445</v>
      </c>
      <c r="J54" s="295"/>
      <c r="K54" s="295">
        <v>0.81203973531905216</v>
      </c>
      <c r="L54" s="295"/>
      <c r="M54" s="295">
        <v>0.80503184116311632</v>
      </c>
      <c r="N54" s="295"/>
      <c r="O54" s="295">
        <v>0.7913727643247177</v>
      </c>
      <c r="P54" s="295"/>
      <c r="Q54" s="295">
        <v>0.78306874790997782</v>
      </c>
      <c r="R54" s="295"/>
      <c r="S54" s="295">
        <v>0.78061141920314736</v>
      </c>
      <c r="T54" s="295"/>
      <c r="U54" s="295">
        <v>0.78061141920314736</v>
      </c>
      <c r="V54" s="295"/>
      <c r="W54" s="295">
        <v>0.78061141920314736</v>
      </c>
      <c r="X54" s="295"/>
      <c r="Y54" s="295">
        <v>0.77898175026952909</v>
      </c>
      <c r="Z54" s="295"/>
      <c r="AA54" s="295">
        <v>0.77898175026952909</v>
      </c>
      <c r="AB54" s="295"/>
      <c r="AC54" s="295">
        <v>0.77654996540916643</v>
      </c>
    </row>
    <row r="55" spans="2:29" ht="15">
      <c r="B55" s="298" t="s">
        <v>641</v>
      </c>
    </row>
    <row r="56" spans="2:29" ht="15">
      <c r="B56" s="298" t="s">
        <v>642</v>
      </c>
    </row>
  </sheetData>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125"/>
  <sheetViews>
    <sheetView topLeftCell="A58" workbookViewId="0">
      <selection activeCell="E126" sqref="E126"/>
    </sheetView>
  </sheetViews>
  <sheetFormatPr defaultColWidth="9.140625" defaultRowHeight="12.75"/>
  <cols>
    <col min="1" max="3" width="9.140625" style="244"/>
    <col min="4" max="4" width="13.42578125" style="244" bestFit="1" customWidth="1"/>
    <col min="5" max="5" width="16.42578125" style="244" bestFit="1" customWidth="1"/>
    <col min="6" max="6" width="23.42578125" style="244" customWidth="1"/>
    <col min="7" max="7" width="11" style="244" bestFit="1" customWidth="1"/>
    <col min="8" max="259" width="9.140625" style="244"/>
    <col min="260" max="260" width="13.42578125" style="244" bestFit="1" customWidth="1"/>
    <col min="261" max="261" width="16.42578125" style="244" bestFit="1" customWidth="1"/>
    <col min="262" max="262" width="23.42578125" style="244" customWidth="1"/>
    <col min="263" max="263" width="11" style="244" bestFit="1" customWidth="1"/>
    <col min="264" max="515" width="9.140625" style="244"/>
    <col min="516" max="516" width="13.42578125" style="244" bestFit="1" customWidth="1"/>
    <col min="517" max="517" width="16.42578125" style="244" bestFit="1" customWidth="1"/>
    <col min="518" max="518" width="23.42578125" style="244" customWidth="1"/>
    <col min="519" max="519" width="11" style="244" bestFit="1" customWidth="1"/>
    <col min="520" max="771" width="9.140625" style="244"/>
    <col min="772" max="772" width="13.42578125" style="244" bestFit="1" customWidth="1"/>
    <col min="773" max="773" width="16.42578125" style="244" bestFit="1" customWidth="1"/>
    <col min="774" max="774" width="23.42578125" style="244" customWidth="1"/>
    <col min="775" max="775" width="11" style="244" bestFit="1" customWidth="1"/>
    <col min="776" max="1027" width="9.140625" style="244"/>
    <col min="1028" max="1028" width="13.42578125" style="244" bestFit="1" customWidth="1"/>
    <col min="1029" max="1029" width="16.42578125" style="244" bestFit="1" customWidth="1"/>
    <col min="1030" max="1030" width="23.42578125" style="244" customWidth="1"/>
    <col min="1031" max="1031" width="11" style="244" bestFit="1" customWidth="1"/>
    <col min="1032" max="1283" width="9.140625" style="244"/>
    <col min="1284" max="1284" width="13.42578125" style="244" bestFit="1" customWidth="1"/>
    <col min="1285" max="1285" width="16.42578125" style="244" bestFit="1" customWidth="1"/>
    <col min="1286" max="1286" width="23.42578125" style="244" customWidth="1"/>
    <col min="1287" max="1287" width="11" style="244" bestFit="1" customWidth="1"/>
    <col min="1288" max="1539" width="9.140625" style="244"/>
    <col min="1540" max="1540" width="13.42578125" style="244" bestFit="1" customWidth="1"/>
    <col min="1541" max="1541" width="16.42578125" style="244" bestFit="1" customWidth="1"/>
    <col min="1542" max="1542" width="23.42578125" style="244" customWidth="1"/>
    <col min="1543" max="1543" width="11" style="244" bestFit="1" customWidth="1"/>
    <col min="1544" max="1795" width="9.140625" style="244"/>
    <col min="1796" max="1796" width="13.42578125" style="244" bestFit="1" customWidth="1"/>
    <col min="1797" max="1797" width="16.42578125" style="244" bestFit="1" customWidth="1"/>
    <col min="1798" max="1798" width="23.42578125" style="244" customWidth="1"/>
    <col min="1799" max="1799" width="11" style="244" bestFit="1" customWidth="1"/>
    <col min="1800" max="2051" width="9.140625" style="244"/>
    <col min="2052" max="2052" width="13.42578125" style="244" bestFit="1" customWidth="1"/>
    <col min="2053" max="2053" width="16.42578125" style="244" bestFit="1" customWidth="1"/>
    <col min="2054" max="2054" width="23.42578125" style="244" customWidth="1"/>
    <col min="2055" max="2055" width="11" style="244" bestFit="1" customWidth="1"/>
    <col min="2056" max="2307" width="9.140625" style="244"/>
    <col min="2308" max="2308" width="13.42578125" style="244" bestFit="1" customWidth="1"/>
    <col min="2309" max="2309" width="16.42578125" style="244" bestFit="1" customWidth="1"/>
    <col min="2310" max="2310" width="23.42578125" style="244" customWidth="1"/>
    <col min="2311" max="2311" width="11" style="244" bestFit="1" customWidth="1"/>
    <col min="2312" max="2563" width="9.140625" style="244"/>
    <col min="2564" max="2564" width="13.42578125" style="244" bestFit="1" customWidth="1"/>
    <col min="2565" max="2565" width="16.42578125" style="244" bestFit="1" customWidth="1"/>
    <col min="2566" max="2566" width="23.42578125" style="244" customWidth="1"/>
    <col min="2567" max="2567" width="11" style="244" bestFit="1" customWidth="1"/>
    <col min="2568" max="2819" width="9.140625" style="244"/>
    <col min="2820" max="2820" width="13.42578125" style="244" bestFit="1" customWidth="1"/>
    <col min="2821" max="2821" width="16.42578125" style="244" bestFit="1" customWidth="1"/>
    <col min="2822" max="2822" width="23.42578125" style="244" customWidth="1"/>
    <col min="2823" max="2823" width="11" style="244" bestFit="1" customWidth="1"/>
    <col min="2824" max="3075" width="9.140625" style="244"/>
    <col min="3076" max="3076" width="13.42578125" style="244" bestFit="1" customWidth="1"/>
    <col min="3077" max="3077" width="16.42578125" style="244" bestFit="1" customWidth="1"/>
    <col min="3078" max="3078" width="23.42578125" style="244" customWidth="1"/>
    <col min="3079" max="3079" width="11" style="244" bestFit="1" customWidth="1"/>
    <col min="3080" max="3331" width="9.140625" style="244"/>
    <col min="3332" max="3332" width="13.42578125" style="244" bestFit="1" customWidth="1"/>
    <col min="3333" max="3333" width="16.42578125" style="244" bestFit="1" customWidth="1"/>
    <col min="3334" max="3334" width="23.42578125" style="244" customWidth="1"/>
    <col min="3335" max="3335" width="11" style="244" bestFit="1" customWidth="1"/>
    <col min="3336" max="3587" width="9.140625" style="244"/>
    <col min="3588" max="3588" width="13.42578125" style="244" bestFit="1" customWidth="1"/>
    <col min="3589" max="3589" width="16.42578125" style="244" bestFit="1" customWidth="1"/>
    <col min="3590" max="3590" width="23.42578125" style="244" customWidth="1"/>
    <col min="3591" max="3591" width="11" style="244" bestFit="1" customWidth="1"/>
    <col min="3592" max="3843" width="9.140625" style="244"/>
    <col min="3844" max="3844" width="13.42578125" style="244" bestFit="1" customWidth="1"/>
    <col min="3845" max="3845" width="16.42578125" style="244" bestFit="1" customWidth="1"/>
    <col min="3846" max="3846" width="23.42578125" style="244" customWidth="1"/>
    <col min="3847" max="3847" width="11" style="244" bestFit="1" customWidth="1"/>
    <col min="3848" max="4099" width="9.140625" style="244"/>
    <col min="4100" max="4100" width="13.42578125" style="244" bestFit="1" customWidth="1"/>
    <col min="4101" max="4101" width="16.42578125" style="244" bestFit="1" customWidth="1"/>
    <col min="4102" max="4102" width="23.42578125" style="244" customWidth="1"/>
    <col min="4103" max="4103" width="11" style="244" bestFit="1" customWidth="1"/>
    <col min="4104" max="4355" width="9.140625" style="244"/>
    <col min="4356" max="4356" width="13.42578125" style="244" bestFit="1" customWidth="1"/>
    <col min="4357" max="4357" width="16.42578125" style="244" bestFit="1" customWidth="1"/>
    <col min="4358" max="4358" width="23.42578125" style="244" customWidth="1"/>
    <col min="4359" max="4359" width="11" style="244" bestFit="1" customWidth="1"/>
    <col min="4360" max="4611" width="9.140625" style="244"/>
    <col min="4612" max="4612" width="13.42578125" style="244" bestFit="1" customWidth="1"/>
    <col min="4613" max="4613" width="16.42578125" style="244" bestFit="1" customWidth="1"/>
    <col min="4614" max="4614" width="23.42578125" style="244" customWidth="1"/>
    <col min="4615" max="4615" width="11" style="244" bestFit="1" customWidth="1"/>
    <col min="4616" max="4867" width="9.140625" style="244"/>
    <col min="4868" max="4868" width="13.42578125" style="244" bestFit="1" customWidth="1"/>
    <col min="4869" max="4869" width="16.42578125" style="244" bestFit="1" customWidth="1"/>
    <col min="4870" max="4870" width="23.42578125" style="244" customWidth="1"/>
    <col min="4871" max="4871" width="11" style="244" bestFit="1" customWidth="1"/>
    <col min="4872" max="5123" width="9.140625" style="244"/>
    <col min="5124" max="5124" width="13.42578125" style="244" bestFit="1" customWidth="1"/>
    <col min="5125" max="5125" width="16.42578125" style="244" bestFit="1" customWidth="1"/>
    <col min="5126" max="5126" width="23.42578125" style="244" customWidth="1"/>
    <col min="5127" max="5127" width="11" style="244" bestFit="1" customWidth="1"/>
    <col min="5128" max="5379" width="9.140625" style="244"/>
    <col min="5380" max="5380" width="13.42578125" style="244" bestFit="1" customWidth="1"/>
    <col min="5381" max="5381" width="16.42578125" style="244" bestFit="1" customWidth="1"/>
    <col min="5382" max="5382" width="23.42578125" style="244" customWidth="1"/>
    <col min="5383" max="5383" width="11" style="244" bestFit="1" customWidth="1"/>
    <col min="5384" max="5635" width="9.140625" style="244"/>
    <col min="5636" max="5636" width="13.42578125" style="244" bestFit="1" customWidth="1"/>
    <col min="5637" max="5637" width="16.42578125" style="244" bestFit="1" customWidth="1"/>
    <col min="5638" max="5638" width="23.42578125" style="244" customWidth="1"/>
    <col min="5639" max="5639" width="11" style="244" bestFit="1" customWidth="1"/>
    <col min="5640" max="5891" width="9.140625" style="244"/>
    <col min="5892" max="5892" width="13.42578125" style="244" bestFit="1" customWidth="1"/>
    <col min="5893" max="5893" width="16.42578125" style="244" bestFit="1" customWidth="1"/>
    <col min="5894" max="5894" width="23.42578125" style="244" customWidth="1"/>
    <col min="5895" max="5895" width="11" style="244" bestFit="1" customWidth="1"/>
    <col min="5896" max="6147" width="9.140625" style="244"/>
    <col min="6148" max="6148" width="13.42578125" style="244" bestFit="1" customWidth="1"/>
    <col min="6149" max="6149" width="16.42578125" style="244" bestFit="1" customWidth="1"/>
    <col min="6150" max="6150" width="23.42578125" style="244" customWidth="1"/>
    <col min="6151" max="6151" width="11" style="244" bestFit="1" customWidth="1"/>
    <col min="6152" max="6403" width="9.140625" style="244"/>
    <col min="6404" max="6404" width="13.42578125" style="244" bestFit="1" customWidth="1"/>
    <col min="6405" max="6405" width="16.42578125" style="244" bestFit="1" customWidth="1"/>
    <col min="6406" max="6406" width="23.42578125" style="244" customWidth="1"/>
    <col min="6407" max="6407" width="11" style="244" bestFit="1" customWidth="1"/>
    <col min="6408" max="6659" width="9.140625" style="244"/>
    <col min="6660" max="6660" width="13.42578125" style="244" bestFit="1" customWidth="1"/>
    <col min="6661" max="6661" width="16.42578125" style="244" bestFit="1" customWidth="1"/>
    <col min="6662" max="6662" width="23.42578125" style="244" customWidth="1"/>
    <col min="6663" max="6663" width="11" style="244" bestFit="1" customWidth="1"/>
    <col min="6664" max="6915" width="9.140625" style="244"/>
    <col min="6916" max="6916" width="13.42578125" style="244" bestFit="1" customWidth="1"/>
    <col min="6917" max="6917" width="16.42578125" style="244" bestFit="1" customWidth="1"/>
    <col min="6918" max="6918" width="23.42578125" style="244" customWidth="1"/>
    <col min="6919" max="6919" width="11" style="244" bestFit="1" customWidth="1"/>
    <col min="6920" max="7171" width="9.140625" style="244"/>
    <col min="7172" max="7172" width="13.42578125" style="244" bestFit="1" customWidth="1"/>
    <col min="7173" max="7173" width="16.42578125" style="244" bestFit="1" customWidth="1"/>
    <col min="7174" max="7174" width="23.42578125" style="244" customWidth="1"/>
    <col min="7175" max="7175" width="11" style="244" bestFit="1" customWidth="1"/>
    <col min="7176" max="7427" width="9.140625" style="244"/>
    <col min="7428" max="7428" width="13.42578125" style="244" bestFit="1" customWidth="1"/>
    <col min="7429" max="7429" width="16.42578125" style="244" bestFit="1" customWidth="1"/>
    <col min="7430" max="7430" width="23.42578125" style="244" customWidth="1"/>
    <col min="7431" max="7431" width="11" style="244" bestFit="1" customWidth="1"/>
    <col min="7432" max="7683" width="9.140625" style="244"/>
    <col min="7684" max="7684" width="13.42578125" style="244" bestFit="1" customWidth="1"/>
    <col min="7685" max="7685" width="16.42578125" style="244" bestFit="1" customWidth="1"/>
    <col min="7686" max="7686" width="23.42578125" style="244" customWidth="1"/>
    <col min="7687" max="7687" width="11" style="244" bestFit="1" customWidth="1"/>
    <col min="7688" max="7939" width="9.140625" style="244"/>
    <col min="7940" max="7940" width="13.42578125" style="244" bestFit="1" customWidth="1"/>
    <col min="7941" max="7941" width="16.42578125" style="244" bestFit="1" customWidth="1"/>
    <col min="7942" max="7942" width="23.42578125" style="244" customWidth="1"/>
    <col min="7943" max="7943" width="11" style="244" bestFit="1" customWidth="1"/>
    <col min="7944" max="8195" width="9.140625" style="244"/>
    <col min="8196" max="8196" width="13.42578125" style="244" bestFit="1" customWidth="1"/>
    <col min="8197" max="8197" width="16.42578125" style="244" bestFit="1" customWidth="1"/>
    <col min="8198" max="8198" width="23.42578125" style="244" customWidth="1"/>
    <col min="8199" max="8199" width="11" style="244" bestFit="1" customWidth="1"/>
    <col min="8200" max="8451" width="9.140625" style="244"/>
    <col min="8452" max="8452" width="13.42578125" style="244" bestFit="1" customWidth="1"/>
    <col min="8453" max="8453" width="16.42578125" style="244" bestFit="1" customWidth="1"/>
    <col min="8454" max="8454" width="23.42578125" style="244" customWidth="1"/>
    <col min="8455" max="8455" width="11" style="244" bestFit="1" customWidth="1"/>
    <col min="8456" max="8707" width="9.140625" style="244"/>
    <col min="8708" max="8708" width="13.42578125" style="244" bestFit="1" customWidth="1"/>
    <col min="8709" max="8709" width="16.42578125" style="244" bestFit="1" customWidth="1"/>
    <col min="8710" max="8710" width="23.42578125" style="244" customWidth="1"/>
    <col min="8711" max="8711" width="11" style="244" bestFit="1" customWidth="1"/>
    <col min="8712" max="8963" width="9.140625" style="244"/>
    <col min="8964" max="8964" width="13.42578125" style="244" bestFit="1" customWidth="1"/>
    <col min="8965" max="8965" width="16.42578125" style="244" bestFit="1" customWidth="1"/>
    <col min="8966" max="8966" width="23.42578125" style="244" customWidth="1"/>
    <col min="8967" max="8967" width="11" style="244" bestFit="1" customWidth="1"/>
    <col min="8968" max="9219" width="9.140625" style="244"/>
    <col min="9220" max="9220" width="13.42578125" style="244" bestFit="1" customWidth="1"/>
    <col min="9221" max="9221" width="16.42578125" style="244" bestFit="1" customWidth="1"/>
    <col min="9222" max="9222" width="23.42578125" style="244" customWidth="1"/>
    <col min="9223" max="9223" width="11" style="244" bestFit="1" customWidth="1"/>
    <col min="9224" max="9475" width="9.140625" style="244"/>
    <col min="9476" max="9476" width="13.42578125" style="244" bestFit="1" customWidth="1"/>
    <col min="9477" max="9477" width="16.42578125" style="244" bestFit="1" customWidth="1"/>
    <col min="9478" max="9478" width="23.42578125" style="244" customWidth="1"/>
    <col min="9479" max="9479" width="11" style="244" bestFit="1" customWidth="1"/>
    <col min="9480" max="9731" width="9.140625" style="244"/>
    <col min="9732" max="9732" width="13.42578125" style="244" bestFit="1" customWidth="1"/>
    <col min="9733" max="9733" width="16.42578125" style="244" bestFit="1" customWidth="1"/>
    <col min="9734" max="9734" width="23.42578125" style="244" customWidth="1"/>
    <col min="9735" max="9735" width="11" style="244" bestFit="1" customWidth="1"/>
    <col min="9736" max="9987" width="9.140625" style="244"/>
    <col min="9988" max="9988" width="13.42578125" style="244" bestFit="1" customWidth="1"/>
    <col min="9989" max="9989" width="16.42578125" style="244" bestFit="1" customWidth="1"/>
    <col min="9990" max="9990" width="23.42578125" style="244" customWidth="1"/>
    <col min="9991" max="9991" width="11" style="244" bestFit="1" customWidth="1"/>
    <col min="9992" max="10243" width="9.140625" style="244"/>
    <col min="10244" max="10244" width="13.42578125" style="244" bestFit="1" customWidth="1"/>
    <col min="10245" max="10245" width="16.42578125" style="244" bestFit="1" customWidth="1"/>
    <col min="10246" max="10246" width="23.42578125" style="244" customWidth="1"/>
    <col min="10247" max="10247" width="11" style="244" bestFit="1" customWidth="1"/>
    <col min="10248" max="10499" width="9.140625" style="244"/>
    <col min="10500" max="10500" width="13.42578125" style="244" bestFit="1" customWidth="1"/>
    <col min="10501" max="10501" width="16.42578125" style="244" bestFit="1" customWidth="1"/>
    <col min="10502" max="10502" width="23.42578125" style="244" customWidth="1"/>
    <col min="10503" max="10503" width="11" style="244" bestFit="1" customWidth="1"/>
    <col min="10504" max="10755" width="9.140625" style="244"/>
    <col min="10756" max="10756" width="13.42578125" style="244" bestFit="1" customWidth="1"/>
    <col min="10757" max="10757" width="16.42578125" style="244" bestFit="1" customWidth="1"/>
    <col min="10758" max="10758" width="23.42578125" style="244" customWidth="1"/>
    <col min="10759" max="10759" width="11" style="244" bestFit="1" customWidth="1"/>
    <col min="10760" max="11011" width="9.140625" style="244"/>
    <col min="11012" max="11012" width="13.42578125" style="244" bestFit="1" customWidth="1"/>
    <col min="11013" max="11013" width="16.42578125" style="244" bestFit="1" customWidth="1"/>
    <col min="11014" max="11014" width="23.42578125" style="244" customWidth="1"/>
    <col min="11015" max="11015" width="11" style="244" bestFit="1" customWidth="1"/>
    <col min="11016" max="11267" width="9.140625" style="244"/>
    <col min="11268" max="11268" width="13.42578125" style="244" bestFit="1" customWidth="1"/>
    <col min="11269" max="11269" width="16.42578125" style="244" bestFit="1" customWidth="1"/>
    <col min="11270" max="11270" width="23.42578125" style="244" customWidth="1"/>
    <col min="11271" max="11271" width="11" style="244" bestFit="1" customWidth="1"/>
    <col min="11272" max="11523" width="9.140625" style="244"/>
    <col min="11524" max="11524" width="13.42578125" style="244" bestFit="1" customWidth="1"/>
    <col min="11525" max="11525" width="16.42578125" style="244" bestFit="1" customWidth="1"/>
    <col min="11526" max="11526" width="23.42578125" style="244" customWidth="1"/>
    <col min="11527" max="11527" width="11" style="244" bestFit="1" customWidth="1"/>
    <col min="11528" max="11779" width="9.140625" style="244"/>
    <col min="11780" max="11780" width="13.42578125" style="244" bestFit="1" customWidth="1"/>
    <col min="11781" max="11781" width="16.42578125" style="244" bestFit="1" customWidth="1"/>
    <col min="11782" max="11782" width="23.42578125" style="244" customWidth="1"/>
    <col min="11783" max="11783" width="11" style="244" bestFit="1" customWidth="1"/>
    <col min="11784" max="12035" width="9.140625" style="244"/>
    <col min="12036" max="12036" width="13.42578125" style="244" bestFit="1" customWidth="1"/>
    <col min="12037" max="12037" width="16.42578125" style="244" bestFit="1" customWidth="1"/>
    <col min="12038" max="12038" width="23.42578125" style="244" customWidth="1"/>
    <col min="12039" max="12039" width="11" style="244" bestFit="1" customWidth="1"/>
    <col min="12040" max="12291" width="9.140625" style="244"/>
    <col min="12292" max="12292" width="13.42578125" style="244" bestFit="1" customWidth="1"/>
    <col min="12293" max="12293" width="16.42578125" style="244" bestFit="1" customWidth="1"/>
    <col min="12294" max="12294" width="23.42578125" style="244" customWidth="1"/>
    <col min="12295" max="12295" width="11" style="244" bestFit="1" customWidth="1"/>
    <col min="12296" max="12547" width="9.140625" style="244"/>
    <col min="12548" max="12548" width="13.42578125" style="244" bestFit="1" customWidth="1"/>
    <col min="12549" max="12549" width="16.42578125" style="244" bestFit="1" customWidth="1"/>
    <col min="12550" max="12550" width="23.42578125" style="244" customWidth="1"/>
    <col min="12551" max="12551" width="11" style="244" bestFit="1" customWidth="1"/>
    <col min="12552" max="12803" width="9.140625" style="244"/>
    <col min="12804" max="12804" width="13.42578125" style="244" bestFit="1" customWidth="1"/>
    <col min="12805" max="12805" width="16.42578125" style="244" bestFit="1" customWidth="1"/>
    <col min="12806" max="12806" width="23.42578125" style="244" customWidth="1"/>
    <col min="12807" max="12807" width="11" style="244" bestFit="1" customWidth="1"/>
    <col min="12808" max="13059" width="9.140625" style="244"/>
    <col min="13060" max="13060" width="13.42578125" style="244" bestFit="1" customWidth="1"/>
    <col min="13061" max="13061" width="16.42578125" style="244" bestFit="1" customWidth="1"/>
    <col min="13062" max="13062" width="23.42578125" style="244" customWidth="1"/>
    <col min="13063" max="13063" width="11" style="244" bestFit="1" customWidth="1"/>
    <col min="13064" max="13315" width="9.140625" style="244"/>
    <col min="13316" max="13316" width="13.42578125" style="244" bestFit="1" customWidth="1"/>
    <col min="13317" max="13317" width="16.42578125" style="244" bestFit="1" customWidth="1"/>
    <col min="13318" max="13318" width="23.42578125" style="244" customWidth="1"/>
    <col min="13319" max="13319" width="11" style="244" bestFit="1" customWidth="1"/>
    <col min="13320" max="13571" width="9.140625" style="244"/>
    <col min="13572" max="13572" width="13.42578125" style="244" bestFit="1" customWidth="1"/>
    <col min="13573" max="13573" width="16.42578125" style="244" bestFit="1" customWidth="1"/>
    <col min="13574" max="13574" width="23.42578125" style="244" customWidth="1"/>
    <col min="13575" max="13575" width="11" style="244" bestFit="1" customWidth="1"/>
    <col min="13576" max="13827" width="9.140625" style="244"/>
    <col min="13828" max="13828" width="13.42578125" style="244" bestFit="1" customWidth="1"/>
    <col min="13829" max="13829" width="16.42578125" style="244" bestFit="1" customWidth="1"/>
    <col min="13830" max="13830" width="23.42578125" style="244" customWidth="1"/>
    <col min="13831" max="13831" width="11" style="244" bestFit="1" customWidth="1"/>
    <col min="13832" max="14083" width="9.140625" style="244"/>
    <col min="14084" max="14084" width="13.42578125" style="244" bestFit="1" customWidth="1"/>
    <col min="14085" max="14085" width="16.42578125" style="244" bestFit="1" customWidth="1"/>
    <col min="14086" max="14086" width="23.42578125" style="244" customWidth="1"/>
    <col min="14087" max="14087" width="11" style="244" bestFit="1" customWidth="1"/>
    <col min="14088" max="14339" width="9.140625" style="244"/>
    <col min="14340" max="14340" width="13.42578125" style="244" bestFit="1" customWidth="1"/>
    <col min="14341" max="14341" width="16.42578125" style="244" bestFit="1" customWidth="1"/>
    <col min="14342" max="14342" width="23.42578125" style="244" customWidth="1"/>
    <col min="14343" max="14343" width="11" style="244" bestFit="1" customWidth="1"/>
    <col min="14344" max="14595" width="9.140625" style="244"/>
    <col min="14596" max="14596" width="13.42578125" style="244" bestFit="1" customWidth="1"/>
    <col min="14597" max="14597" width="16.42578125" style="244" bestFit="1" customWidth="1"/>
    <col min="14598" max="14598" width="23.42578125" style="244" customWidth="1"/>
    <col min="14599" max="14599" width="11" style="244" bestFit="1" customWidth="1"/>
    <col min="14600" max="14851" width="9.140625" style="244"/>
    <col min="14852" max="14852" width="13.42578125" style="244" bestFit="1" customWidth="1"/>
    <col min="14853" max="14853" width="16.42578125" style="244" bestFit="1" customWidth="1"/>
    <col min="14854" max="14854" width="23.42578125" style="244" customWidth="1"/>
    <col min="14855" max="14855" width="11" style="244" bestFit="1" customWidth="1"/>
    <col min="14856" max="15107" width="9.140625" style="244"/>
    <col min="15108" max="15108" width="13.42578125" style="244" bestFit="1" customWidth="1"/>
    <col min="15109" max="15109" width="16.42578125" style="244" bestFit="1" customWidth="1"/>
    <col min="15110" max="15110" width="23.42578125" style="244" customWidth="1"/>
    <col min="15111" max="15111" width="11" style="244" bestFit="1" customWidth="1"/>
    <col min="15112" max="15363" width="9.140625" style="244"/>
    <col min="15364" max="15364" width="13.42578125" style="244" bestFit="1" customWidth="1"/>
    <col min="15365" max="15365" width="16.42578125" style="244" bestFit="1" customWidth="1"/>
    <col min="15366" max="15366" width="23.42578125" style="244" customWidth="1"/>
    <col min="15367" max="15367" width="11" style="244" bestFit="1" customWidth="1"/>
    <col min="15368" max="15619" width="9.140625" style="244"/>
    <col min="15620" max="15620" width="13.42578125" style="244" bestFit="1" customWidth="1"/>
    <col min="15621" max="15621" width="16.42578125" style="244" bestFit="1" customWidth="1"/>
    <col min="15622" max="15622" width="23.42578125" style="244" customWidth="1"/>
    <col min="15623" max="15623" width="11" style="244" bestFit="1" customWidth="1"/>
    <col min="15624" max="15875" width="9.140625" style="244"/>
    <col min="15876" max="15876" width="13.42578125" style="244" bestFit="1" customWidth="1"/>
    <col min="15877" max="15877" width="16.42578125" style="244" bestFit="1" customWidth="1"/>
    <col min="15878" max="15878" width="23.42578125" style="244" customWidth="1"/>
    <col min="15879" max="15879" width="11" style="244" bestFit="1" customWidth="1"/>
    <col min="15880" max="16131" width="9.140625" style="244"/>
    <col min="16132" max="16132" width="13.42578125" style="244" bestFit="1" customWidth="1"/>
    <col min="16133" max="16133" width="16.42578125" style="244" bestFit="1" customWidth="1"/>
    <col min="16134" max="16134" width="23.42578125" style="244" customWidth="1"/>
    <col min="16135" max="16135" width="11" style="244" bestFit="1" customWidth="1"/>
    <col min="16136" max="16384" width="9.140625" style="244"/>
  </cols>
  <sheetData>
    <row r="1" spans="1:38" ht="20.25">
      <c r="A1" s="245"/>
      <c r="B1" s="246"/>
      <c r="C1" s="245"/>
      <c r="D1" s="246"/>
      <c r="E1" s="245"/>
      <c r="F1" s="245"/>
      <c r="G1" s="245"/>
      <c r="H1" s="79" t="s">
        <v>20</v>
      </c>
      <c r="I1" s="247"/>
      <c r="J1" s="247"/>
      <c r="K1" s="247"/>
      <c r="L1" s="247"/>
      <c r="M1" s="247"/>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row>
    <row r="2" spans="1:38">
      <c r="A2" s="247"/>
      <c r="B2" s="456"/>
      <c r="C2" s="456"/>
      <c r="D2" s="456"/>
      <c r="E2" s="456"/>
      <c r="F2" s="248"/>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row>
    <row r="3" spans="1:38">
      <c r="A3" s="247"/>
      <c r="B3" s="457" t="s">
        <v>234</v>
      </c>
      <c r="C3" s="457"/>
      <c r="D3" s="457"/>
      <c r="E3" s="457"/>
      <c r="F3" s="249" t="s">
        <v>64</v>
      </c>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row>
    <row r="4" spans="1:38">
      <c r="A4" s="247"/>
      <c r="B4" s="243" t="s">
        <v>236</v>
      </c>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row>
    <row r="5" spans="1:38">
      <c r="A5" s="247"/>
      <c r="B5" s="252" t="s">
        <v>237</v>
      </c>
      <c r="C5" s="252"/>
      <c r="D5" s="252"/>
      <c r="E5" s="252">
        <v>3.2808000000000002</v>
      </c>
      <c r="F5" s="252" t="s">
        <v>238</v>
      </c>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row>
    <row r="6" spans="1:38">
      <c r="A6" s="247"/>
      <c r="B6" s="252" t="s">
        <v>239</v>
      </c>
      <c r="C6" s="252"/>
      <c r="D6" s="252"/>
      <c r="E6" s="252">
        <f>1/E5</f>
        <v>0.30480370641306997</v>
      </c>
      <c r="F6" s="252" t="s">
        <v>240</v>
      </c>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row>
    <row r="7" spans="1:38">
      <c r="A7" s="247"/>
      <c r="B7" s="252" t="s">
        <v>241</v>
      </c>
      <c r="C7" s="252"/>
      <c r="D7" s="252"/>
      <c r="E7" s="252">
        <v>2.5399999999999999E-2</v>
      </c>
      <c r="F7" s="252" t="s">
        <v>242</v>
      </c>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row>
    <row r="8" spans="1:38">
      <c r="A8" s="247"/>
      <c r="B8" s="252" t="s">
        <v>243</v>
      </c>
      <c r="C8" s="252"/>
      <c r="D8" s="252"/>
      <c r="E8" s="252">
        <f>1/E7</f>
        <v>39.370078740157481</v>
      </c>
      <c r="F8" s="252" t="s">
        <v>244</v>
      </c>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row>
    <row r="9" spans="1:38">
      <c r="A9" s="247"/>
      <c r="B9" s="252" t="s">
        <v>245</v>
      </c>
      <c r="C9" s="252"/>
      <c r="D9" s="252"/>
      <c r="E9" s="252">
        <v>0.62136999999999998</v>
      </c>
      <c r="F9" s="252" t="s">
        <v>246</v>
      </c>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row>
    <row r="10" spans="1:38">
      <c r="A10" s="247"/>
      <c r="B10" s="243" t="s">
        <v>247</v>
      </c>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row>
    <row r="11" spans="1:38">
      <c r="A11" s="247"/>
      <c r="B11" s="252" t="s">
        <v>248</v>
      </c>
      <c r="C11" s="252"/>
      <c r="D11" s="252"/>
      <c r="E11" s="252">
        <v>2.2040000000000002</v>
      </c>
      <c r="F11" s="252" t="s">
        <v>249</v>
      </c>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row>
    <row r="12" spans="1:38">
      <c r="A12" s="247"/>
      <c r="B12" s="252" t="s">
        <v>250</v>
      </c>
      <c r="C12" s="252"/>
      <c r="D12" s="252"/>
      <c r="E12" s="252">
        <v>0.45358999999999999</v>
      </c>
      <c r="F12" s="252" t="s">
        <v>251</v>
      </c>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row>
    <row r="13" spans="1:38">
      <c r="A13" s="247"/>
      <c r="B13" s="252" t="s">
        <v>252</v>
      </c>
      <c r="C13" s="252"/>
      <c r="D13" s="252"/>
      <c r="E13" s="252">
        <v>1000</v>
      </c>
      <c r="F13" s="252" t="s">
        <v>253</v>
      </c>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row>
    <row r="14" spans="1:38">
      <c r="A14" s="247"/>
      <c r="B14" s="252" t="s">
        <v>254</v>
      </c>
      <c r="C14" s="252"/>
      <c r="D14" s="252"/>
      <c r="E14" s="252">
        <f>1/1000</f>
        <v>1E-3</v>
      </c>
      <c r="F14" s="252" t="s">
        <v>255</v>
      </c>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row>
    <row r="15" spans="1:38">
      <c r="A15" s="247"/>
      <c r="B15" s="252" t="s">
        <v>256</v>
      </c>
      <c r="C15" s="252"/>
      <c r="D15" s="252"/>
      <c r="E15" s="252">
        <f>E12*1000</f>
        <v>453.59</v>
      </c>
      <c r="F15" s="252" t="s">
        <v>257</v>
      </c>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row>
    <row r="16" spans="1:38">
      <c r="A16" s="247"/>
      <c r="B16" s="252" t="s">
        <v>258</v>
      </c>
      <c r="C16" s="252"/>
      <c r="D16" s="252"/>
      <c r="E16" s="252">
        <f>1/E15</f>
        <v>2.2046341409643071E-3</v>
      </c>
      <c r="F16" s="252" t="s">
        <v>259</v>
      </c>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row>
    <row r="17" spans="1:38">
      <c r="A17" s="247"/>
      <c r="B17" s="252" t="s">
        <v>260</v>
      </c>
      <c r="C17" s="252"/>
      <c r="D17" s="252"/>
      <c r="E17" s="253">
        <f>E12*1000*365</f>
        <v>165560.34999999998</v>
      </c>
      <c r="F17" s="252" t="s">
        <v>261</v>
      </c>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row>
    <row r="18" spans="1:38">
      <c r="A18" s="247"/>
      <c r="B18" s="243" t="s">
        <v>262</v>
      </c>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row>
    <row r="19" spans="1:38">
      <c r="A19" s="247"/>
      <c r="B19" s="453" t="s">
        <v>263</v>
      </c>
      <c r="C19" s="454"/>
      <c r="D19" s="252"/>
      <c r="E19" s="252">
        <v>1.3069999999999999</v>
      </c>
      <c r="F19" s="252" t="s">
        <v>264</v>
      </c>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row>
    <row r="20" spans="1:38">
      <c r="A20" s="247"/>
      <c r="B20" s="453" t="s">
        <v>265</v>
      </c>
      <c r="C20" s="454"/>
      <c r="D20" s="252"/>
      <c r="E20" s="252">
        <v>42</v>
      </c>
      <c r="F20" s="252" t="s">
        <v>266</v>
      </c>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row>
    <row r="21" spans="1:38">
      <c r="A21" s="247"/>
      <c r="B21" s="453" t="s">
        <v>267</v>
      </c>
      <c r="C21" s="454"/>
      <c r="D21" s="252"/>
      <c r="E21" s="252">
        <f>1/E20</f>
        <v>2.3809523809523808E-2</v>
      </c>
      <c r="F21" s="252" t="s">
        <v>268</v>
      </c>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row>
    <row r="22" spans="1:38">
      <c r="A22" s="247"/>
      <c r="B22" s="453" t="s">
        <v>269</v>
      </c>
      <c r="C22" s="454"/>
      <c r="D22" s="252"/>
      <c r="E22" s="252">
        <v>3.78</v>
      </c>
      <c r="F22" s="252" t="s">
        <v>270</v>
      </c>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row>
    <row r="23" spans="1:38">
      <c r="A23" s="247"/>
      <c r="B23" s="453" t="s">
        <v>271</v>
      </c>
      <c r="C23" s="454"/>
      <c r="D23" s="252"/>
      <c r="E23" s="252">
        <v>28.316846600000002</v>
      </c>
      <c r="F23" s="252" t="s">
        <v>272</v>
      </c>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row>
    <row r="24" spans="1:38">
      <c r="A24" s="247"/>
      <c r="B24" s="453" t="s">
        <v>273</v>
      </c>
      <c r="C24" s="454"/>
      <c r="D24" s="252"/>
      <c r="E24" s="252">
        <v>158.9873</v>
      </c>
      <c r="F24" s="252" t="s">
        <v>274</v>
      </c>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row>
    <row r="25" spans="1:38">
      <c r="A25" s="247"/>
      <c r="B25" s="453" t="s">
        <v>275</v>
      </c>
      <c r="C25" s="454"/>
      <c r="D25" s="252"/>
      <c r="E25" s="252">
        <f>E24/1000</f>
        <v>0.1589873</v>
      </c>
      <c r="F25" s="252" t="s">
        <v>276</v>
      </c>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row>
    <row r="26" spans="1:38">
      <c r="A26" s="247"/>
      <c r="B26" s="453" t="s">
        <v>277</v>
      </c>
      <c r="C26" s="454"/>
      <c r="D26" s="252"/>
      <c r="E26" s="254">
        <f>E25*35.3146667</f>
        <v>5.6145835090329097</v>
      </c>
      <c r="F26" s="252" t="s">
        <v>278</v>
      </c>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row>
    <row r="27" spans="1:38">
      <c r="A27" s="247"/>
      <c r="B27" s="453" t="s">
        <v>279</v>
      </c>
      <c r="C27" s="454"/>
      <c r="D27" s="252"/>
      <c r="E27" s="252">
        <f>1/E25</f>
        <v>6.2898105697750699</v>
      </c>
      <c r="F27" s="252" t="s">
        <v>280</v>
      </c>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row>
    <row r="28" spans="1:38">
      <c r="A28" s="247"/>
      <c r="B28" s="453" t="s">
        <v>281</v>
      </c>
      <c r="C28" s="454"/>
      <c r="D28" s="252"/>
      <c r="E28" s="252">
        <v>22.4</v>
      </c>
      <c r="F28" s="252" t="s">
        <v>282</v>
      </c>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row>
    <row r="29" spans="1:38">
      <c r="B29" s="453" t="s">
        <v>283</v>
      </c>
      <c r="C29" s="454"/>
      <c r="D29" s="252"/>
      <c r="E29" s="252">
        <f>E26/E25</f>
        <v>35.314666699999997</v>
      </c>
      <c r="F29" s="252" t="s">
        <v>284</v>
      </c>
    </row>
    <row r="30" spans="1:38">
      <c r="B30" s="255" t="s">
        <v>285</v>
      </c>
      <c r="C30" s="247"/>
      <c r="D30" s="247"/>
      <c r="E30" s="247"/>
    </row>
    <row r="31" spans="1:38">
      <c r="B31" s="453" t="s">
        <v>286</v>
      </c>
      <c r="C31" s="454"/>
      <c r="D31" s="252"/>
      <c r="E31" s="252">
        <v>9.4781711999999995E-4</v>
      </c>
      <c r="F31" s="252" t="s">
        <v>287</v>
      </c>
    </row>
    <row r="32" spans="1:38">
      <c r="B32" s="453" t="s">
        <v>288</v>
      </c>
      <c r="C32" s="454"/>
      <c r="D32" s="252"/>
      <c r="E32" s="252">
        <f>E31*1000000</f>
        <v>947.81711999999993</v>
      </c>
      <c r="F32" s="252" t="s">
        <v>289</v>
      </c>
    </row>
    <row r="33" spans="2:10">
      <c r="B33" s="453" t="s">
        <v>290</v>
      </c>
      <c r="C33" s="454"/>
      <c r="D33" s="252"/>
      <c r="E33" s="252">
        <v>1055.05</v>
      </c>
      <c r="F33" s="252" t="s">
        <v>291</v>
      </c>
    </row>
    <row r="34" spans="2:10">
      <c r="B34" s="453" t="s">
        <v>292</v>
      </c>
      <c r="C34" s="454"/>
      <c r="D34" s="252"/>
      <c r="E34" s="252">
        <f>E33/1000000</f>
        <v>1.0550499999999999E-3</v>
      </c>
      <c r="F34" s="252" t="s">
        <v>293</v>
      </c>
    </row>
    <row r="35" spans="2:10">
      <c r="B35" s="453" t="s">
        <v>294</v>
      </c>
      <c r="C35" s="454"/>
      <c r="D35" s="252"/>
      <c r="E35" s="252">
        <f>E34*1000000</f>
        <v>1055.05</v>
      </c>
      <c r="F35" s="252" t="s">
        <v>295</v>
      </c>
    </row>
    <row r="36" spans="2:10">
      <c r="B36" s="453" t="s">
        <v>296</v>
      </c>
      <c r="C36" s="454"/>
      <c r="D36" s="252"/>
      <c r="E36" s="252">
        <v>4.18</v>
      </c>
      <c r="F36" s="252" t="s">
        <v>297</v>
      </c>
    </row>
    <row r="37" spans="2:10">
      <c r="B37" s="453" t="s">
        <v>298</v>
      </c>
      <c r="C37" s="454"/>
      <c r="D37" s="252"/>
      <c r="E37" s="252">
        <v>3.6</v>
      </c>
      <c r="F37" s="252" t="s">
        <v>299</v>
      </c>
      <c r="J37" s="250"/>
    </row>
    <row r="38" spans="2:10">
      <c r="B38" s="453" t="s">
        <v>300</v>
      </c>
      <c r="C38" s="454"/>
      <c r="D38" s="252"/>
      <c r="E38" s="252">
        <f>1/E37</f>
        <v>0.27777777777777779</v>
      </c>
      <c r="F38" s="252" t="s">
        <v>301</v>
      </c>
    </row>
    <row r="39" spans="2:10">
      <c r="B39" s="453" t="s">
        <v>302</v>
      </c>
      <c r="C39" s="454"/>
      <c r="D39" s="252"/>
      <c r="E39" s="252">
        <f>E34*E38</f>
        <v>2.9306944444444443E-4</v>
      </c>
      <c r="F39" s="252" t="s">
        <v>303</v>
      </c>
    </row>
    <row r="40" spans="2:10">
      <c r="B40" s="453" t="s">
        <v>304</v>
      </c>
      <c r="C40" s="454"/>
      <c r="D40" s="252"/>
      <c r="E40" s="252">
        <f>1/E39</f>
        <v>3412.160561110848</v>
      </c>
      <c r="F40" s="252" t="s">
        <v>305</v>
      </c>
    </row>
    <row r="41" spans="2:10">
      <c r="B41" s="453" t="s">
        <v>306</v>
      </c>
      <c r="C41" s="454"/>
      <c r="D41" s="252"/>
      <c r="E41" s="252">
        <f>E40/1000</f>
        <v>3.4121605611108481</v>
      </c>
      <c r="F41" s="252" t="s">
        <v>307</v>
      </c>
    </row>
    <row r="42" spans="2:10">
      <c r="B42" s="243" t="s">
        <v>308</v>
      </c>
    </row>
    <row r="43" spans="2:10">
      <c r="B43" s="453" t="s">
        <v>309</v>
      </c>
      <c r="C43" s="454"/>
      <c r="D43" s="252"/>
      <c r="E43" s="252">
        <v>1.34</v>
      </c>
      <c r="F43" s="252" t="s">
        <v>310</v>
      </c>
    </row>
    <row r="44" spans="2:10">
      <c r="B44" s="453" t="s">
        <v>311</v>
      </c>
      <c r="C44" s="454"/>
      <c r="D44" s="252"/>
      <c r="E44" s="252">
        <f>1/E43</f>
        <v>0.74626865671641784</v>
      </c>
      <c r="F44" s="252" t="s">
        <v>312</v>
      </c>
    </row>
    <row r="48" spans="2:10" ht="15">
      <c r="B48" s="256" t="s">
        <v>313</v>
      </c>
      <c r="C48" s="257"/>
      <c r="D48" s="257"/>
      <c r="E48" s="257"/>
      <c r="F48" s="257"/>
      <c r="G48" s="257"/>
      <c r="H48" s="257"/>
    </row>
    <row r="49" spans="2:8">
      <c r="B49" s="258" t="s">
        <v>314</v>
      </c>
      <c r="C49" s="259"/>
      <c r="D49" s="260"/>
      <c r="E49" s="455"/>
      <c r="F49" s="455"/>
      <c r="G49" s="261" t="s">
        <v>315</v>
      </c>
      <c r="H49" s="261" t="s">
        <v>316</v>
      </c>
    </row>
    <row r="50" spans="2:8">
      <c r="B50" s="258"/>
      <c r="C50" s="259"/>
      <c r="D50" s="260"/>
      <c r="E50" s="261" t="s">
        <v>317</v>
      </c>
      <c r="F50" s="261" t="s">
        <v>318</v>
      </c>
      <c r="G50" s="261"/>
      <c r="H50" s="261" t="s">
        <v>319</v>
      </c>
    </row>
    <row r="51" spans="2:8">
      <c r="B51" s="258" t="s">
        <v>320</v>
      </c>
      <c r="C51" s="259"/>
      <c r="D51" s="260"/>
      <c r="E51" s="261" t="s">
        <v>321</v>
      </c>
      <c r="F51" s="261" t="s">
        <v>321</v>
      </c>
      <c r="G51" s="261" t="s">
        <v>322</v>
      </c>
      <c r="H51" s="261"/>
    </row>
    <row r="52" spans="2:8">
      <c r="B52" s="262" t="s">
        <v>323</v>
      </c>
      <c r="C52" s="263"/>
      <c r="D52" s="264"/>
      <c r="E52" s="265">
        <v>129670</v>
      </c>
      <c r="F52" s="265">
        <v>138350</v>
      </c>
      <c r="G52" s="265">
        <v>3205</v>
      </c>
      <c r="H52" s="266">
        <v>0.85299999999999998</v>
      </c>
    </row>
    <row r="53" spans="2:8">
      <c r="B53" s="267" t="s">
        <v>324</v>
      </c>
      <c r="C53" s="268"/>
      <c r="D53" s="269"/>
      <c r="E53" s="270">
        <v>116090</v>
      </c>
      <c r="F53" s="270">
        <v>124340</v>
      </c>
      <c r="G53" s="270">
        <v>2819</v>
      </c>
      <c r="H53" s="266">
        <v>0.86299999999999999</v>
      </c>
    </row>
    <row r="54" spans="2:8">
      <c r="B54" s="267" t="s">
        <v>325</v>
      </c>
      <c r="C54" s="268"/>
      <c r="D54" s="269"/>
      <c r="E54" s="270">
        <v>116090</v>
      </c>
      <c r="F54" s="270">
        <v>124340</v>
      </c>
      <c r="G54" s="270">
        <v>2819</v>
      </c>
      <c r="H54" s="266">
        <v>0.86299999999999999</v>
      </c>
    </row>
    <row r="55" spans="2:8">
      <c r="B55" s="267" t="s">
        <v>326</v>
      </c>
      <c r="C55" s="268"/>
      <c r="D55" s="269"/>
      <c r="E55" s="270">
        <v>109771.98636437056</v>
      </c>
      <c r="F55" s="270">
        <v>120540.96773507145</v>
      </c>
      <c r="G55" s="270">
        <v>2788.0898299560213</v>
      </c>
      <c r="H55" s="266">
        <v>0.82870402298850565</v>
      </c>
    </row>
    <row r="56" spans="2:8">
      <c r="B56" s="267" t="s">
        <v>327</v>
      </c>
      <c r="C56" s="268"/>
      <c r="D56" s="269"/>
      <c r="E56" s="270">
        <v>128450</v>
      </c>
      <c r="F56" s="270">
        <v>137380</v>
      </c>
      <c r="G56" s="270">
        <v>3167</v>
      </c>
      <c r="H56" s="266">
        <v>0.86499999999999999</v>
      </c>
    </row>
    <row r="57" spans="2:8">
      <c r="B57" s="267" t="s">
        <v>328</v>
      </c>
      <c r="C57" s="268"/>
      <c r="D57" s="269"/>
      <c r="E57" s="270">
        <v>128450</v>
      </c>
      <c r="F57" s="270">
        <v>137380</v>
      </c>
      <c r="G57" s="270">
        <v>3167</v>
      </c>
      <c r="H57" s="266">
        <v>0.86499999999999999</v>
      </c>
    </row>
    <row r="58" spans="2:8">
      <c r="B58" s="267" t="s">
        <v>329</v>
      </c>
      <c r="C58" s="268"/>
      <c r="D58" s="269"/>
      <c r="E58" s="270">
        <v>127463.51938029277</v>
      </c>
      <c r="F58" s="270">
        <v>133075.1387920352</v>
      </c>
      <c r="G58" s="270">
        <v>3141.8675346178593</v>
      </c>
      <c r="H58" s="266">
        <v>0.86499999999999999</v>
      </c>
    </row>
    <row r="59" spans="2:8">
      <c r="B59" s="267" t="s">
        <v>330</v>
      </c>
      <c r="C59" s="268"/>
      <c r="D59" s="269"/>
      <c r="E59" s="270">
        <v>84950</v>
      </c>
      <c r="F59" s="270">
        <v>91410</v>
      </c>
      <c r="G59" s="270">
        <v>1923</v>
      </c>
      <c r="H59" s="266">
        <v>0.82</v>
      </c>
    </row>
    <row r="60" spans="2:8">
      <c r="B60" s="267" t="s">
        <v>331</v>
      </c>
      <c r="C60" s="268"/>
      <c r="D60" s="269"/>
      <c r="E60" s="270">
        <v>140352.52220119376</v>
      </c>
      <c r="F60" s="270">
        <v>150110</v>
      </c>
      <c r="G60" s="270">
        <v>3752</v>
      </c>
      <c r="H60" s="266">
        <v>0.86799999999999999</v>
      </c>
    </row>
    <row r="61" spans="2:8">
      <c r="B61" s="258" t="s">
        <v>332</v>
      </c>
      <c r="C61" s="259"/>
      <c r="D61" s="260"/>
      <c r="E61" s="261" t="s">
        <v>333</v>
      </c>
      <c r="F61" s="261" t="s">
        <v>333</v>
      </c>
      <c r="G61" s="271" t="s">
        <v>334</v>
      </c>
      <c r="H61" s="272"/>
    </row>
    <row r="62" spans="2:8">
      <c r="B62" s="267" t="s">
        <v>335</v>
      </c>
      <c r="C62" s="268"/>
      <c r="D62" s="269"/>
      <c r="E62" s="270">
        <v>930</v>
      </c>
      <c r="F62" s="270">
        <v>1030</v>
      </c>
      <c r="G62" s="270">
        <v>20.399999999999999</v>
      </c>
      <c r="H62" s="266">
        <v>0.72399999999999998</v>
      </c>
    </row>
    <row r="63" spans="2:8">
      <c r="B63" s="267" t="s">
        <v>336</v>
      </c>
      <c r="C63" s="268"/>
      <c r="D63" s="269"/>
      <c r="E63" s="270">
        <v>282</v>
      </c>
      <c r="F63" s="270">
        <v>331</v>
      </c>
      <c r="G63" s="270">
        <v>2.48</v>
      </c>
      <c r="H63" s="266">
        <v>0</v>
      </c>
    </row>
    <row r="64" spans="2:8">
      <c r="B64" s="267" t="s">
        <v>337</v>
      </c>
      <c r="C64" s="268"/>
      <c r="D64" s="269"/>
      <c r="E64" s="273"/>
      <c r="F64" s="273"/>
      <c r="G64" s="270">
        <v>55.977829999999997</v>
      </c>
      <c r="H64" s="266">
        <v>0.27272727272727271</v>
      </c>
    </row>
    <row r="65" spans="2:11">
      <c r="B65" s="267" t="s">
        <v>338</v>
      </c>
      <c r="C65" s="268"/>
      <c r="D65" s="269"/>
      <c r="E65" s="273">
        <v>1458</v>
      </c>
      <c r="F65" s="273">
        <v>1584</v>
      </c>
      <c r="G65" s="270">
        <v>32.799999999999997</v>
      </c>
      <c r="H65" s="266"/>
    </row>
    <row r="66" spans="2:11">
      <c r="B66" s="258" t="s">
        <v>339</v>
      </c>
      <c r="C66" s="259"/>
      <c r="D66" s="260"/>
      <c r="E66" s="261" t="s">
        <v>340</v>
      </c>
      <c r="F66" s="261" t="s">
        <v>340</v>
      </c>
      <c r="G66" s="261"/>
      <c r="H66" s="272"/>
    </row>
    <row r="67" spans="2:11">
      <c r="B67" s="267" t="s">
        <v>341</v>
      </c>
      <c r="C67" s="268"/>
      <c r="D67" s="269"/>
      <c r="E67" s="270">
        <v>25370000</v>
      </c>
      <c r="F67" s="270">
        <v>26920000</v>
      </c>
      <c r="G67" s="273"/>
      <c r="H67" s="266">
        <v>0.79900000000000004</v>
      </c>
    </row>
    <row r="68" spans="2:11">
      <c r="B68" s="267" t="s">
        <v>342</v>
      </c>
      <c r="C68" s="268"/>
      <c r="D68" s="269"/>
      <c r="E68" s="270">
        <v>19546300</v>
      </c>
      <c r="F68" s="270">
        <v>20608570</v>
      </c>
      <c r="G68" s="273"/>
      <c r="H68" s="266">
        <v>0.63700000000000001</v>
      </c>
    </row>
    <row r="69" spans="2:11">
      <c r="B69" s="267" t="s">
        <v>343</v>
      </c>
      <c r="C69" s="268"/>
      <c r="D69" s="269"/>
      <c r="E69" s="270">
        <v>22460600</v>
      </c>
      <c r="F69" s="270">
        <v>23445900</v>
      </c>
      <c r="G69" s="273"/>
      <c r="H69" s="266">
        <v>0.755</v>
      </c>
    </row>
    <row r="70" spans="2:11">
      <c r="B70" s="267" t="s">
        <v>344</v>
      </c>
      <c r="C70" s="268"/>
      <c r="D70" s="269"/>
      <c r="E70" s="270">
        <v>24600497.144575384</v>
      </c>
      <c r="F70" s="270">
        <v>25679670</v>
      </c>
      <c r="G70" s="273"/>
      <c r="H70" s="266">
        <v>0.747</v>
      </c>
    </row>
    <row r="73" spans="2:11">
      <c r="B73" s="244" t="s">
        <v>345</v>
      </c>
      <c r="E73" s="244">
        <v>7.2718000000000005E-2</v>
      </c>
      <c r="F73" s="244" t="s">
        <v>346</v>
      </c>
      <c r="G73" s="244" t="s">
        <v>347</v>
      </c>
      <c r="J73" s="244">
        <f>E73*CONVERT(1,"lbm","kg")</f>
        <v>3.2984329961660001E-2</v>
      </c>
      <c r="K73" s="244" t="s">
        <v>348</v>
      </c>
    </row>
    <row r="74" spans="2:11">
      <c r="B74" s="244" t="s">
        <v>349</v>
      </c>
      <c r="E74" s="244">
        <v>0.11483</v>
      </c>
      <c r="F74" s="244" t="s">
        <v>346</v>
      </c>
      <c r="G74" s="244" t="s">
        <v>347</v>
      </c>
      <c r="J74" s="244">
        <f t="shared" ref="J74:J79" si="0">E74*CONVERT(1,"lbm","kg")</f>
        <v>5.2086011847100003E-2</v>
      </c>
      <c r="K74" s="244" t="s">
        <v>348</v>
      </c>
    </row>
    <row r="75" spans="2:11">
      <c r="B75" s="244" t="s">
        <v>350</v>
      </c>
      <c r="E75" s="244">
        <v>4.1711999999999999E-2</v>
      </c>
      <c r="F75" s="244" t="s">
        <v>346</v>
      </c>
      <c r="G75" s="244" t="s">
        <v>347</v>
      </c>
      <c r="J75" s="244">
        <f t="shared" si="0"/>
        <v>1.892024493744E-2</v>
      </c>
      <c r="K75" s="244" t="s">
        <v>348</v>
      </c>
    </row>
    <row r="76" spans="2:11">
      <c r="B76" s="244" t="s">
        <v>351</v>
      </c>
      <c r="E76" s="244">
        <v>7.8670000000000004E-2</v>
      </c>
      <c r="F76" s="244" t="s">
        <v>346</v>
      </c>
      <c r="G76" s="244" t="s">
        <v>347</v>
      </c>
      <c r="J76" s="244">
        <f t="shared" si="0"/>
        <v>3.5684111747900003E-2</v>
      </c>
      <c r="K76" s="244" t="s">
        <v>348</v>
      </c>
    </row>
    <row r="77" spans="2:11">
      <c r="B77" s="244" t="s">
        <v>352</v>
      </c>
      <c r="E77" s="244">
        <v>0.11642</v>
      </c>
      <c r="F77" s="244" t="s">
        <v>346</v>
      </c>
      <c r="G77" s="244" t="s">
        <v>347</v>
      </c>
      <c r="J77" s="244">
        <f t="shared" si="0"/>
        <v>5.2807223715400003E-2</v>
      </c>
      <c r="K77" s="244" t="s">
        <v>348</v>
      </c>
    </row>
    <row r="78" spans="2:11">
      <c r="B78" s="244" t="s">
        <v>353</v>
      </c>
      <c r="E78" s="244">
        <v>0.15579999999999999</v>
      </c>
      <c r="F78" s="244" t="s">
        <v>346</v>
      </c>
      <c r="G78" s="244" t="s">
        <v>347</v>
      </c>
      <c r="J78" s="244">
        <f t="shared" si="0"/>
        <v>7.0669691246000005E-2</v>
      </c>
      <c r="K78" s="244" t="s">
        <v>348</v>
      </c>
    </row>
    <row r="79" spans="2:11">
      <c r="B79" s="244" t="s">
        <v>354</v>
      </c>
      <c r="E79" s="244">
        <v>8.9165999999999995E-2</v>
      </c>
      <c r="F79" s="244" t="s">
        <v>346</v>
      </c>
      <c r="G79" s="244" t="s">
        <v>347</v>
      </c>
      <c r="J79" s="244">
        <f t="shared" si="0"/>
        <v>4.0445017263420001E-2</v>
      </c>
      <c r="K79" s="244" t="s">
        <v>348</v>
      </c>
    </row>
    <row r="81" spans="2:11">
      <c r="B81" s="244" t="s">
        <v>355</v>
      </c>
      <c r="E81" s="244">
        <v>28.013400000000001</v>
      </c>
      <c r="F81" s="244" t="s">
        <v>356</v>
      </c>
    </row>
    <row r="82" spans="2:11">
      <c r="B82" s="244" t="s">
        <v>357</v>
      </c>
      <c r="E82" s="244">
        <v>44.01</v>
      </c>
      <c r="F82" s="244" t="s">
        <v>356</v>
      </c>
    </row>
    <row r="83" spans="2:11">
      <c r="B83" s="244" t="s">
        <v>358</v>
      </c>
      <c r="E83" s="244">
        <v>16.04</v>
      </c>
      <c r="F83" s="244" t="s">
        <v>356</v>
      </c>
    </row>
    <row r="84" spans="2:11">
      <c r="B84" s="244" t="s">
        <v>359</v>
      </c>
      <c r="E84" s="244">
        <v>30.07</v>
      </c>
      <c r="F84" s="244" t="s">
        <v>356</v>
      </c>
    </row>
    <row r="85" spans="2:11">
      <c r="B85" s="244" t="s">
        <v>360</v>
      </c>
      <c r="E85" s="244">
        <v>44.1</v>
      </c>
      <c r="F85" s="244" t="s">
        <v>356</v>
      </c>
    </row>
    <row r="86" spans="2:11">
      <c r="B86" s="244" t="s">
        <v>361</v>
      </c>
      <c r="E86" s="244">
        <v>58.12</v>
      </c>
      <c r="F86" s="244" t="s">
        <v>356</v>
      </c>
    </row>
    <row r="87" spans="2:11">
      <c r="B87" s="244" t="s">
        <v>362</v>
      </c>
      <c r="E87" s="244">
        <v>34.0809</v>
      </c>
      <c r="F87" s="244" t="s">
        <v>356</v>
      </c>
    </row>
    <row r="89" spans="2:11">
      <c r="B89" s="244" t="s">
        <v>363</v>
      </c>
      <c r="E89" s="244">
        <f t="shared" ref="E89:E95" si="1">1/(E73/E81)</f>
        <v>385.23336725432489</v>
      </c>
      <c r="F89" s="244" t="s">
        <v>364</v>
      </c>
      <c r="G89" s="244" t="s">
        <v>347</v>
      </c>
      <c r="J89" s="244">
        <f>E81/J73</f>
        <v>849.29419613986215</v>
      </c>
      <c r="K89" s="244" t="s">
        <v>365</v>
      </c>
    </row>
    <row r="90" spans="2:11">
      <c r="B90" s="244" t="s">
        <v>366</v>
      </c>
      <c r="E90" s="244">
        <f t="shared" si="1"/>
        <v>383.26221370721936</v>
      </c>
      <c r="F90" s="244" t="s">
        <v>364</v>
      </c>
      <c r="G90" s="244" t="s">
        <v>347</v>
      </c>
      <c r="J90" s="244">
        <f t="shared" ref="J90:J95" si="2">E82/J74</f>
        <v>844.94854643877568</v>
      </c>
      <c r="K90" s="244" t="s">
        <v>365</v>
      </c>
    </row>
    <row r="91" spans="2:11">
      <c r="B91" s="244" t="s">
        <v>367</v>
      </c>
      <c r="E91" s="244">
        <f t="shared" si="1"/>
        <v>384.54161871883389</v>
      </c>
      <c r="F91" s="244" t="s">
        <v>364</v>
      </c>
      <c r="G91" s="244" t="s">
        <v>347</v>
      </c>
      <c r="J91" s="244">
        <f t="shared" si="2"/>
        <v>847.76915166988783</v>
      </c>
      <c r="K91" s="244" t="s">
        <v>365</v>
      </c>
    </row>
    <row r="92" spans="2:11">
      <c r="B92" s="244" t="s">
        <v>368</v>
      </c>
      <c r="E92" s="244">
        <f t="shared" si="1"/>
        <v>382.2295665437905</v>
      </c>
      <c r="F92" s="244" t="s">
        <v>364</v>
      </c>
      <c r="G92" s="244" t="s">
        <v>347</v>
      </c>
      <c r="J92" s="244">
        <f t="shared" si="2"/>
        <v>842.67194914189247</v>
      </c>
      <c r="K92" s="244" t="s">
        <v>365</v>
      </c>
    </row>
    <row r="93" spans="2:11">
      <c r="B93" s="244" t="s">
        <v>369</v>
      </c>
      <c r="E93" s="244">
        <f t="shared" si="1"/>
        <v>378.80089331729948</v>
      </c>
      <c r="F93" s="244" t="s">
        <v>364</v>
      </c>
      <c r="G93" s="244" t="s">
        <v>347</v>
      </c>
      <c r="J93" s="244">
        <f t="shared" si="2"/>
        <v>835.11301858384309</v>
      </c>
      <c r="K93" s="244" t="s">
        <v>365</v>
      </c>
    </row>
    <row r="94" spans="2:11">
      <c r="B94" s="244" t="s">
        <v>370</v>
      </c>
      <c r="E94" s="244">
        <f t="shared" si="1"/>
        <v>373.04236200256736</v>
      </c>
      <c r="F94" s="244" t="s">
        <v>364</v>
      </c>
      <c r="G94" s="244" t="s">
        <v>347</v>
      </c>
      <c r="J94" s="244">
        <f t="shared" si="2"/>
        <v>822.41763017876019</v>
      </c>
      <c r="K94" s="244" t="s">
        <v>365</v>
      </c>
    </row>
    <row r="95" spans="2:11">
      <c r="B95" s="244" t="s">
        <v>371</v>
      </c>
      <c r="E95" s="244">
        <f t="shared" si="1"/>
        <v>382.21855864342911</v>
      </c>
      <c r="F95" s="244" t="s">
        <v>364</v>
      </c>
      <c r="G95" s="244" t="s">
        <v>347</v>
      </c>
      <c r="J95" s="244">
        <f t="shared" si="2"/>
        <v>842.64768087573668</v>
      </c>
      <c r="K95" s="244" t="s">
        <v>365</v>
      </c>
    </row>
    <row r="98" spans="2:12">
      <c r="E98" s="275">
        <f>'Data Summary'!E66</f>
        <v>908</v>
      </c>
      <c r="F98" s="244" t="s">
        <v>372</v>
      </c>
      <c r="G98" s="244">
        <f t="shared" ref="G98:G104" si="3">E98*E81</f>
        <v>25436.1672</v>
      </c>
      <c r="H98" s="244">
        <f t="shared" ref="H98:H104" si="4">E98*E89</f>
        <v>349791.89746692701</v>
      </c>
      <c r="J98" s="244">
        <f>E98*J89</f>
        <v>771159.13009499479</v>
      </c>
    </row>
    <row r="99" spans="2:12">
      <c r="E99" s="244">
        <f>'Data Summary'!E67</f>
        <v>0.02</v>
      </c>
      <c r="F99" s="244" t="s">
        <v>372</v>
      </c>
      <c r="G99" s="244">
        <f t="shared" si="3"/>
        <v>0.88019999999999998</v>
      </c>
      <c r="H99" s="244">
        <f t="shared" si="4"/>
        <v>7.6652442741443876</v>
      </c>
      <c r="J99" s="244">
        <f t="shared" ref="J99:J104" si="5">E99*J90</f>
        <v>16.898970928775515</v>
      </c>
    </row>
    <row r="100" spans="2:12">
      <c r="E100" s="244">
        <f>'Data Summary'!E68</f>
        <v>0.06</v>
      </c>
      <c r="F100" s="244" t="s">
        <v>372</v>
      </c>
      <c r="G100" s="244">
        <f t="shared" si="3"/>
        <v>0.96239999999999992</v>
      </c>
      <c r="H100" s="244">
        <f t="shared" si="4"/>
        <v>23.072497123130031</v>
      </c>
      <c r="J100" s="244">
        <f t="shared" si="5"/>
        <v>50.866149100193269</v>
      </c>
    </row>
    <row r="101" spans="2:12">
      <c r="E101" s="244">
        <f>'Data Summary'!E69</f>
        <v>0.84</v>
      </c>
      <c r="F101" s="244" t="s">
        <v>372</v>
      </c>
      <c r="G101" s="244">
        <f t="shared" si="3"/>
        <v>25.258800000000001</v>
      </c>
      <c r="H101" s="244">
        <f t="shared" si="4"/>
        <v>321.072835896784</v>
      </c>
      <c r="J101" s="244">
        <f t="shared" si="5"/>
        <v>707.84443727918961</v>
      </c>
    </row>
    <row r="102" spans="2:12">
      <c r="E102" s="244">
        <f>'Data Summary'!E70</f>
        <v>0.04</v>
      </c>
      <c r="F102" s="244" t="s">
        <v>372</v>
      </c>
      <c r="G102" s="244">
        <f t="shared" si="3"/>
        <v>1.764</v>
      </c>
      <c r="H102" s="244">
        <f t="shared" si="4"/>
        <v>15.15203573269198</v>
      </c>
      <c r="J102" s="244">
        <f t="shared" si="5"/>
        <v>33.404520743353721</v>
      </c>
    </row>
    <row r="103" spans="2:12">
      <c r="E103" s="244">
        <f>'Data Summary'!E71</f>
        <v>0.02</v>
      </c>
      <c r="F103" s="244" t="s">
        <v>372</v>
      </c>
      <c r="G103" s="244">
        <f t="shared" si="3"/>
        <v>1.1623999999999999</v>
      </c>
      <c r="H103" s="244">
        <f t="shared" si="4"/>
        <v>7.460847240051347</v>
      </c>
      <c r="J103" s="244">
        <f t="shared" si="5"/>
        <v>16.448352603575206</v>
      </c>
    </row>
    <row r="104" spans="2:12">
      <c r="E104" s="244">
        <f>'Data Summary'!E72</f>
        <v>0.01</v>
      </c>
      <c r="F104" s="244" t="s">
        <v>372</v>
      </c>
      <c r="G104" s="244">
        <f t="shared" si="3"/>
        <v>0.34080900000000003</v>
      </c>
      <c r="H104" s="244">
        <f t="shared" si="4"/>
        <v>3.8221855864342911</v>
      </c>
      <c r="J104" s="244">
        <f t="shared" si="5"/>
        <v>8.4264768087573678</v>
      </c>
      <c r="L104" s="244">
        <f>SUM(J98:J104)</f>
        <v>771993.01900245866</v>
      </c>
    </row>
    <row r="105" spans="2:12">
      <c r="F105" s="274" t="s">
        <v>373</v>
      </c>
      <c r="G105" s="244">
        <f>SUM(G98:G104)</f>
        <v>25466.535809000001</v>
      </c>
      <c r="H105" s="244">
        <f>SUM(H98:H104)</f>
        <v>350170.14311278029</v>
      </c>
      <c r="I105" s="244" t="s">
        <v>374</v>
      </c>
    </row>
    <row r="106" spans="2:12">
      <c r="F106" s="274" t="s">
        <v>375</v>
      </c>
      <c r="G106" s="244">
        <f>G105/H105</f>
        <v>7.2726177002469111E-2</v>
      </c>
      <c r="L106" s="244">
        <f>G105/L104</f>
        <v>3.2988038987589466E-2</v>
      </c>
    </row>
    <row r="107" spans="2:12">
      <c r="G107" s="275"/>
    </row>
    <row r="109" spans="2:12">
      <c r="B109" s="244">
        <v>20</v>
      </c>
      <c r="C109" s="244" t="s">
        <v>848</v>
      </c>
      <c r="D109" s="244">
        <f>CONVERT(20,"C","F")+459.67</f>
        <v>527.67000000000007</v>
      </c>
      <c r="E109" s="244" t="s">
        <v>849</v>
      </c>
    </row>
    <row r="110" spans="2:12">
      <c r="B110" s="244">
        <v>1</v>
      </c>
      <c r="C110" s="244" t="s">
        <v>850</v>
      </c>
      <c r="D110" s="331">
        <v>14.69595</v>
      </c>
      <c r="E110" s="244" t="s">
        <v>410</v>
      </c>
    </row>
    <row r="111" spans="2:12">
      <c r="D111" s="244">
        <f>D110/CONVERT(1,"in","ft")^2</f>
        <v>2116.2168000000001</v>
      </c>
      <c r="E111" s="244" t="s">
        <v>851</v>
      </c>
    </row>
    <row r="112" spans="2:12">
      <c r="B112" s="244">
        <v>1</v>
      </c>
      <c r="C112" s="244" t="s">
        <v>852</v>
      </c>
      <c r="D112" s="244">
        <f>CONVERT(1,"lbm","kg")</f>
        <v>0.45359237000000002</v>
      </c>
      <c r="E112" s="244" t="s">
        <v>42</v>
      </c>
    </row>
    <row r="121" spans="2:5">
      <c r="B121" s="244">
        <v>20</v>
      </c>
      <c r="C121" s="244" t="s">
        <v>848</v>
      </c>
      <c r="D121" s="244">
        <f>CONVERT(20,"C","F")+459.67</f>
        <v>527.67000000000007</v>
      </c>
      <c r="E121" s="244" t="s">
        <v>849</v>
      </c>
    </row>
    <row r="122" spans="2:5">
      <c r="B122" s="244">
        <v>1</v>
      </c>
      <c r="C122" s="244" t="s">
        <v>850</v>
      </c>
      <c r="D122" s="331">
        <v>14.69595</v>
      </c>
      <c r="E122" s="244" t="s">
        <v>410</v>
      </c>
    </row>
    <row r="123" spans="2:5">
      <c r="D123" s="244">
        <f>D122/CONVERT(1,"in","ft")^2</f>
        <v>2116.2168000000001</v>
      </c>
      <c r="E123" s="244" t="s">
        <v>851</v>
      </c>
    </row>
    <row r="124" spans="2:5">
      <c r="B124" s="244">
        <v>1</v>
      </c>
      <c r="C124" s="244" t="s">
        <v>852</v>
      </c>
      <c r="D124" s="244">
        <f>CONVERT(1,"lbm","kg")</f>
        <v>0.45359237000000002</v>
      </c>
      <c r="E124" s="244" t="s">
        <v>42</v>
      </c>
    </row>
    <row r="125" spans="2:5">
      <c r="B125" s="244">
        <v>1</v>
      </c>
      <c r="C125" s="244" t="s">
        <v>893</v>
      </c>
      <c r="D125" s="244">
        <f>CONVERT(1,"flb","HPh")/24</f>
        <v>2.1043771043771042E-8</v>
      </c>
      <c r="E125" s="244" t="s">
        <v>894</v>
      </c>
    </row>
  </sheetData>
  <mergeCells count="27">
    <mergeCell ref="B22:C22"/>
    <mergeCell ref="B2:E2"/>
    <mergeCell ref="B3:E3"/>
    <mergeCell ref="B19:C19"/>
    <mergeCell ref="B20:C20"/>
    <mergeCell ref="B21:C21"/>
    <mergeCell ref="B35:C35"/>
    <mergeCell ref="B23:C23"/>
    <mergeCell ref="B24:C24"/>
    <mergeCell ref="B25:C25"/>
    <mergeCell ref="B26:C26"/>
    <mergeCell ref="B27:C27"/>
    <mergeCell ref="B28:C28"/>
    <mergeCell ref="B29:C29"/>
    <mergeCell ref="B31:C31"/>
    <mergeCell ref="B32:C32"/>
    <mergeCell ref="B33:C33"/>
    <mergeCell ref="B34:C34"/>
    <mergeCell ref="B43:C43"/>
    <mergeCell ref="B44:C44"/>
    <mergeCell ref="E49:F49"/>
    <mergeCell ref="B36:C36"/>
    <mergeCell ref="B37:C37"/>
    <mergeCell ref="B38:C38"/>
    <mergeCell ref="B39:C39"/>
    <mergeCell ref="B40:C40"/>
    <mergeCell ref="B41:C4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19" sqref="H19"/>
    </sheetView>
  </sheetViews>
  <sheetFormatPr defaultColWidth="9.140625" defaultRowHeight="12.75"/>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c r="C3" s="248" t="s">
        <v>235</v>
      </c>
      <c r="D3" s="248" t="s">
        <v>9</v>
      </c>
    </row>
    <row r="4" spans="1:38" ht="15">
      <c r="C4" s="251"/>
      <c r="D4" s="458"/>
      <c r="E4" s="459"/>
      <c r="F4" s="459"/>
      <c r="G4" s="459"/>
      <c r="H4" s="459"/>
      <c r="I4" s="459"/>
      <c r="J4" s="459"/>
      <c r="K4" s="459"/>
      <c r="L4" s="459"/>
    </row>
    <row r="5" spans="1:38" ht="15">
      <c r="C5" s="251"/>
      <c r="D5" s="458"/>
      <c r="E5" s="459"/>
      <c r="F5" s="459"/>
      <c r="G5" s="459"/>
      <c r="H5" s="459"/>
      <c r="I5" s="459"/>
      <c r="J5" s="459"/>
      <c r="K5" s="459"/>
      <c r="L5" s="459"/>
    </row>
    <row r="6" spans="1:38" ht="15">
      <c r="C6" s="251"/>
      <c r="D6" s="458"/>
      <c r="E6" s="459"/>
      <c r="F6" s="459"/>
      <c r="G6" s="459"/>
      <c r="H6" s="459"/>
      <c r="I6" s="459"/>
      <c r="J6" s="459"/>
      <c r="K6" s="459"/>
      <c r="L6" s="459"/>
    </row>
    <row r="7" spans="1:38" ht="15">
      <c r="C7" s="251"/>
      <c r="D7" s="458"/>
      <c r="E7" s="459"/>
      <c r="F7" s="459"/>
      <c r="G7" s="459"/>
      <c r="H7" s="459"/>
      <c r="I7" s="459"/>
      <c r="J7" s="459"/>
      <c r="K7" s="459"/>
      <c r="L7" s="459"/>
    </row>
    <row r="8" spans="1:38" ht="15">
      <c r="C8" s="251"/>
      <c r="D8" s="458"/>
      <c r="E8" s="459"/>
      <c r="F8" s="459"/>
      <c r="G8" s="459"/>
      <c r="H8" s="459"/>
      <c r="I8" s="459"/>
      <c r="J8" s="459"/>
      <c r="K8" s="459"/>
      <c r="L8" s="459"/>
    </row>
    <row r="9" spans="1:38" ht="15">
      <c r="C9" s="251"/>
      <c r="D9" s="458"/>
      <c r="E9" s="459"/>
      <c r="F9" s="459"/>
      <c r="G9" s="459"/>
      <c r="H9" s="459"/>
      <c r="I9" s="459"/>
      <c r="J9" s="459"/>
      <c r="K9" s="459"/>
      <c r="L9" s="459"/>
    </row>
    <row r="10" spans="1:38" ht="15">
      <c r="C10" s="251"/>
      <c r="D10" s="458"/>
      <c r="E10" s="459"/>
      <c r="F10" s="459"/>
      <c r="G10" s="459"/>
      <c r="H10" s="459"/>
      <c r="I10" s="459"/>
      <c r="J10" s="459"/>
      <c r="K10" s="459"/>
      <c r="L10" s="459"/>
    </row>
    <row r="11" spans="1:38" ht="15">
      <c r="C11" s="251"/>
      <c r="D11" s="458"/>
      <c r="E11" s="459"/>
      <c r="F11" s="459"/>
      <c r="G11" s="459"/>
      <c r="H11" s="459"/>
      <c r="I11" s="459"/>
      <c r="J11" s="459"/>
      <c r="K11" s="459"/>
      <c r="L11" s="459"/>
    </row>
    <row r="12" spans="1:38" ht="15">
      <c r="C12" s="251"/>
      <c r="D12" s="458"/>
      <c r="E12" s="459"/>
      <c r="F12" s="459"/>
      <c r="G12" s="459"/>
      <c r="H12" s="459"/>
      <c r="I12" s="459"/>
      <c r="J12" s="459"/>
      <c r="K12" s="459"/>
      <c r="L12" s="459"/>
    </row>
    <row r="13" spans="1:38" ht="15">
      <c r="C13" s="251"/>
      <c r="D13" s="458"/>
      <c r="E13" s="459"/>
      <c r="F13" s="459"/>
      <c r="G13" s="459"/>
      <c r="H13" s="459"/>
      <c r="I13" s="459"/>
      <c r="J13" s="459"/>
      <c r="K13" s="459"/>
      <c r="L13" s="459"/>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11A8F781-C89D-47EE-9C1D-C9E8DFA0C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D16899-3F3A-4530-A323-68ED5F94EA40}">
  <ds:schemaRefs>
    <ds:schemaRef ds:uri="http://schemas.microsoft.com/sharepoint/v3/contenttype/forms"/>
  </ds:schemaRefs>
</ds:datastoreItem>
</file>

<file path=customXml/itemProps3.xml><?xml version="1.0" encoding="utf-8"?>
<ds:datastoreItem xmlns:ds="http://schemas.openxmlformats.org/officeDocument/2006/customXml" ds:itemID="{7A75090F-ADB8-4A5D-B280-34ABB08BCB6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Data Summary</vt:lpstr>
      <vt:lpstr>PS</vt:lpstr>
      <vt:lpstr>Reference Source Info</vt:lpstr>
      <vt:lpstr>DQI</vt:lpstr>
      <vt:lpstr>Calculations Sheet</vt:lpstr>
      <vt:lpstr>Drivers</vt:lpstr>
      <vt:lpstr>Conversions</vt:lpstr>
      <vt:lpstr>Assumptions</vt:lpstr>
      <vt:lpstr>Check</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Krynock, Michelle M. (CONTR)</cp:lastModifiedBy>
  <dcterms:created xsi:type="dcterms:W3CDTF">2013-08-07T17:11:54Z</dcterms:created>
  <dcterms:modified xsi:type="dcterms:W3CDTF">2017-01-03T20:30:56Z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