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5275" windowHeight="12705" firstSheet="1" activeTab="1"/>
  </bookViews>
  <sheets>
    <sheet name="Info" sheetId="1" r:id="rId1"/>
    <sheet name="Data Summary" sheetId="2" r:id="rId2"/>
    <sheet name="PS" sheetId="3" r:id="rId3"/>
    <sheet name="Reference Source Info" sheetId="4" r:id="rId4"/>
    <sheet name="DQI" sheetId="5" r:id="rId5"/>
    <sheet name="Alloying" sheetId="9" r:id="rId6"/>
    <sheet name="Hydrogen Decrepitation" sheetId="10" r:id="rId7"/>
    <sheet name="Jet Milling" sheetId="11" r:id="rId8"/>
    <sheet name="Aligning and Pressing" sheetId="12" r:id="rId9"/>
    <sheet name="Vacuum Sintering" sheetId="13" r:id="rId10"/>
    <sheet name="Grinding and Slicing" sheetId="14" r:id="rId11"/>
    <sheet name="Electroplating" sheetId="15" r:id="rId12"/>
    <sheet name="Conversions" sheetId="7" r:id="rId13"/>
    <sheet name="Assumptions" sheetId="8" r:id="rId14"/>
    <sheet name="Chart" sheetId="16" r:id="rId15"/>
  </sheets>
  <calcPr calcId="145621"/>
</workbook>
</file>

<file path=xl/calcChain.xml><?xml version="1.0" encoding="utf-8"?>
<calcChain xmlns="http://schemas.openxmlformats.org/spreadsheetml/2006/main">
  <c r="B51" i="9" l="1"/>
  <c r="B95" i="9"/>
  <c r="E164" i="2"/>
  <c r="H22" i="15" l="1"/>
  <c r="B164" i="2" l="1"/>
  <c r="H55" i="2"/>
  <c r="B66" i="9"/>
  <c r="B20" i="9" l="1"/>
  <c r="I45" i="5" l="1"/>
  <c r="I4" i="5" l="1"/>
  <c r="J4" i="5"/>
  <c r="K4" i="5"/>
  <c r="I5" i="5"/>
  <c r="J5" i="5"/>
  <c r="K5" i="5"/>
  <c r="I6" i="5"/>
  <c r="J6" i="5"/>
  <c r="K6" i="5"/>
  <c r="I7" i="5"/>
  <c r="J7" i="5"/>
  <c r="K7" i="5"/>
  <c r="I8" i="5"/>
  <c r="J8" i="5"/>
  <c r="K8" i="5"/>
  <c r="I9" i="5"/>
  <c r="J9" i="5"/>
  <c r="K9" i="5"/>
  <c r="I10" i="5"/>
  <c r="J10" i="5"/>
  <c r="K10" i="5"/>
  <c r="I11" i="5"/>
  <c r="J11" i="5"/>
  <c r="K11" i="5"/>
  <c r="I12" i="5"/>
  <c r="J12" i="5"/>
  <c r="K12" i="5"/>
  <c r="I13" i="5"/>
  <c r="J13" i="5"/>
  <c r="K13" i="5"/>
  <c r="I14" i="5"/>
  <c r="J14" i="5"/>
  <c r="K14" i="5"/>
  <c r="I15" i="5"/>
  <c r="J15" i="5"/>
  <c r="K15" i="5"/>
  <c r="I16" i="5"/>
  <c r="J16" i="5"/>
  <c r="K16" i="5"/>
  <c r="I17" i="5"/>
  <c r="J17" i="5"/>
  <c r="K17" i="5"/>
  <c r="I18" i="5"/>
  <c r="J18" i="5"/>
  <c r="K18" i="5"/>
  <c r="I19" i="5"/>
  <c r="J19" i="5"/>
  <c r="K19" i="5"/>
  <c r="I20" i="5"/>
  <c r="J20" i="5"/>
  <c r="K20" i="5"/>
  <c r="I21" i="5"/>
  <c r="J21" i="5"/>
  <c r="K21" i="5"/>
  <c r="I22" i="5"/>
  <c r="J22" i="5"/>
  <c r="K22" i="5"/>
  <c r="I23" i="5"/>
  <c r="J23" i="5"/>
  <c r="K23" i="5"/>
  <c r="I24" i="5"/>
  <c r="J24" i="5"/>
  <c r="K24" i="5"/>
  <c r="I25" i="5"/>
  <c r="J25" i="5"/>
  <c r="K25" i="5"/>
  <c r="I26" i="5"/>
  <c r="J26" i="5"/>
  <c r="K26" i="5"/>
  <c r="I27" i="5"/>
  <c r="J27" i="5"/>
  <c r="K27" i="5"/>
  <c r="I28" i="5"/>
  <c r="J28" i="5"/>
  <c r="K28" i="5"/>
  <c r="I29" i="5"/>
  <c r="J29" i="5"/>
  <c r="K29" i="5"/>
  <c r="I30" i="5"/>
  <c r="J30" i="5"/>
  <c r="K30" i="5"/>
  <c r="I31" i="5"/>
  <c r="J31" i="5"/>
  <c r="K31" i="5"/>
  <c r="I32" i="5"/>
  <c r="J32" i="5"/>
  <c r="K32" i="5"/>
  <c r="I33" i="5"/>
  <c r="J33" i="5"/>
  <c r="K33" i="5"/>
  <c r="I34" i="5"/>
  <c r="J34" i="5"/>
  <c r="K34" i="5"/>
  <c r="I35" i="5"/>
  <c r="J35" i="5"/>
  <c r="K35" i="5"/>
  <c r="I36" i="5"/>
  <c r="J36" i="5"/>
  <c r="K36" i="5"/>
  <c r="I37" i="5"/>
  <c r="J37" i="5"/>
  <c r="K37" i="5"/>
  <c r="I38" i="5"/>
  <c r="J38" i="5"/>
  <c r="K38" i="5"/>
  <c r="I39" i="5"/>
  <c r="J39" i="5"/>
  <c r="K39" i="5"/>
  <c r="I40" i="5"/>
  <c r="J40" i="5"/>
  <c r="K40" i="5"/>
  <c r="I41" i="5"/>
  <c r="J41" i="5"/>
  <c r="K41" i="5"/>
  <c r="I42" i="5"/>
  <c r="J42" i="5"/>
  <c r="K42" i="5"/>
  <c r="I43" i="5"/>
  <c r="J43" i="5"/>
  <c r="K43" i="5"/>
  <c r="I44" i="5"/>
  <c r="J44" i="5"/>
  <c r="K44" i="5"/>
  <c r="B163" i="2" l="1"/>
  <c r="B162" i="2" l="1"/>
  <c r="B160" i="2"/>
  <c r="B161" i="2"/>
  <c r="H126" i="2"/>
  <c r="H125" i="2"/>
  <c r="H63" i="2" l="1"/>
  <c r="H62" i="2"/>
  <c r="B18" i="15"/>
  <c r="B14" i="14"/>
  <c r="B26" i="14"/>
  <c r="A41" i="13"/>
  <c r="A42" i="13"/>
  <c r="B48" i="13"/>
  <c r="H24" i="2"/>
  <c r="H25" i="2"/>
  <c r="H26" i="2"/>
  <c r="H23" i="2"/>
  <c r="B34" i="9"/>
  <c r="B28" i="9"/>
  <c r="A10" i="9" l="1"/>
  <c r="H8" i="15"/>
  <c r="H19" i="15" s="1"/>
  <c r="B34" i="14"/>
  <c r="B23" i="14"/>
  <c r="B27" i="14" s="1"/>
  <c r="B24" i="14"/>
  <c r="B36" i="14" s="1"/>
  <c r="B15" i="14"/>
  <c r="B22" i="14"/>
  <c r="B39" i="14" l="1"/>
  <c r="B35" i="14" s="1"/>
  <c r="B40" i="14" s="1"/>
  <c r="H9" i="15"/>
  <c r="A11" i="9"/>
  <c r="E129" i="2"/>
  <c r="E130" i="2" s="1"/>
  <c r="E127" i="2" s="1"/>
  <c r="B153" i="2"/>
  <c r="B154" i="2"/>
  <c r="B155" i="2"/>
  <c r="B156" i="2"/>
  <c r="B157" i="2"/>
  <c r="B158" i="2"/>
  <c r="B159" i="2"/>
  <c r="B152" i="2"/>
  <c r="B145" i="2"/>
  <c r="B146" i="2"/>
  <c r="B147" i="2"/>
  <c r="B148" i="2"/>
  <c r="B149" i="2"/>
  <c r="B150" i="2"/>
  <c r="B151" i="2"/>
  <c r="B139" i="2"/>
  <c r="B140" i="2"/>
  <c r="B141" i="2"/>
  <c r="B142" i="2"/>
  <c r="B143" i="2"/>
  <c r="B144" i="2"/>
  <c r="H127" i="2"/>
  <c r="H128" i="2"/>
  <c r="H129" i="2"/>
  <c r="F129" i="2"/>
  <c r="G129" i="2"/>
  <c r="B129" i="2"/>
  <c r="B130" i="2"/>
  <c r="B131" i="2"/>
  <c r="B132" i="2"/>
  <c r="B133" i="2"/>
  <c r="B134" i="2"/>
  <c r="B135" i="2"/>
  <c r="B136" i="2"/>
  <c r="B137" i="2"/>
  <c r="B138" i="2"/>
  <c r="H123" i="2"/>
  <c r="H124" i="2"/>
  <c r="H122" i="2"/>
  <c r="E125" i="2"/>
  <c r="B127" i="2"/>
  <c r="F123" i="2"/>
  <c r="G123" i="2"/>
  <c r="E123" i="2"/>
  <c r="F122" i="2"/>
  <c r="G122" i="2"/>
  <c r="E122" i="2"/>
  <c r="E124" i="2" s="1"/>
  <c r="B122" i="2"/>
  <c r="B123" i="2"/>
  <c r="B124" i="2"/>
  <c r="B125" i="2"/>
  <c r="B126" i="2"/>
  <c r="B128" i="2"/>
  <c r="B106" i="2"/>
  <c r="B107" i="2"/>
  <c r="B108" i="2"/>
  <c r="B109" i="2"/>
  <c r="B110" i="2"/>
  <c r="B111" i="2"/>
  <c r="B112" i="2"/>
  <c r="B113" i="2"/>
  <c r="B114" i="2"/>
  <c r="B115" i="2"/>
  <c r="B116" i="2"/>
  <c r="B117" i="2"/>
  <c r="B118" i="2"/>
  <c r="B119" i="2"/>
  <c r="B120" i="2"/>
  <c r="B121"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H77" i="2"/>
  <c r="H76" i="2"/>
  <c r="H74" i="2"/>
  <c r="H72" i="2"/>
  <c r="H75" i="2"/>
  <c r="H73" i="2"/>
  <c r="H71" i="2"/>
  <c r="H70" i="2"/>
  <c r="H69" i="2"/>
  <c r="H68" i="2"/>
  <c r="E68" i="2"/>
  <c r="B16" i="12"/>
  <c r="H67" i="2"/>
  <c r="H66" i="2"/>
  <c r="H65" i="2"/>
  <c r="B15" i="11"/>
  <c r="E65" i="2" s="1"/>
  <c r="H64" i="2"/>
  <c r="H61" i="2"/>
  <c r="H60" i="2"/>
  <c r="B22" i="10"/>
  <c r="E62" i="2"/>
  <c r="B62" i="2"/>
  <c r="B63" i="2"/>
  <c r="B64" i="2"/>
  <c r="B56" i="2"/>
  <c r="B57" i="2"/>
  <c r="B58" i="2"/>
  <c r="B59" i="2"/>
  <c r="B60" i="2"/>
  <c r="B61" i="2"/>
  <c r="B65" i="2"/>
  <c r="B66" i="2"/>
  <c r="B67" i="2"/>
  <c r="B68" i="2"/>
  <c r="B69" i="2"/>
  <c r="B70" i="2"/>
  <c r="B71" i="2"/>
  <c r="B72" i="2"/>
  <c r="B73" i="2"/>
  <c r="B74" i="2"/>
  <c r="B75" i="2"/>
  <c r="B76" i="2"/>
  <c r="B77" i="2"/>
  <c r="H59" i="2"/>
  <c r="H27" i="2"/>
  <c r="H28" i="2"/>
  <c r="H29" i="2"/>
  <c r="H30" i="2"/>
  <c r="H31" i="2"/>
  <c r="H32" i="2"/>
  <c r="H33" i="2"/>
  <c r="H34" i="2"/>
  <c r="H35" i="2"/>
  <c r="H36" i="2"/>
  <c r="H37" i="2"/>
  <c r="H38" i="2"/>
  <c r="H39" i="2"/>
  <c r="H40" i="2"/>
  <c r="H41" i="2"/>
  <c r="H42" i="2"/>
  <c r="H43" i="2"/>
  <c r="H44" i="2"/>
  <c r="H45" i="2"/>
  <c r="H46" i="2"/>
  <c r="H47" i="2"/>
  <c r="H48" i="2"/>
  <c r="H49" i="2"/>
  <c r="H50" i="2"/>
  <c r="H51" i="2"/>
  <c r="H52" i="2"/>
  <c r="H54" i="2"/>
  <c r="H56" i="2"/>
  <c r="H57" i="2"/>
  <c r="H58" i="2"/>
  <c r="B24" i="2"/>
  <c r="B26" i="2"/>
  <c r="C27" i="2"/>
  <c r="B23" i="2"/>
  <c r="B25"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37" i="14" l="1"/>
  <c r="H182" i="2"/>
  <c r="H180" i="2"/>
  <c r="H181" i="2"/>
  <c r="H189" i="2"/>
  <c r="B27" i="2"/>
  <c r="H179" i="2"/>
  <c r="E126" i="2"/>
  <c r="E70" i="2"/>
  <c r="E67" i="2" s="1"/>
  <c r="E64" i="2" s="1"/>
  <c r="E59" i="2" s="1"/>
  <c r="E77" i="2"/>
  <c r="E128" i="2" s="1"/>
  <c r="E147" i="2"/>
  <c r="B72" i="9"/>
  <c r="E36" i="2" s="1"/>
  <c r="B17" i="9"/>
  <c r="B16" i="9"/>
  <c r="B15" i="9"/>
  <c r="B19" i="9" s="1"/>
  <c r="B36" i="9"/>
  <c r="B80" i="9" s="1"/>
  <c r="E44" i="2" s="1"/>
  <c r="B78" i="9"/>
  <c r="E42" i="2" s="1"/>
  <c r="B29" i="9"/>
  <c r="B73" i="9" s="1"/>
  <c r="E37" i="2" s="1"/>
  <c r="B59" i="9" l="1"/>
  <c r="E23" i="2" s="1"/>
  <c r="E69" i="2"/>
  <c r="B60" i="9"/>
  <c r="E24" i="2" s="1"/>
  <c r="B21" i="9"/>
  <c r="H26" i="9"/>
  <c r="B31" i="9"/>
  <c r="B37" i="9" s="1"/>
  <c r="B61" i="9"/>
  <c r="E25" i="2" s="1"/>
  <c r="B19" i="10"/>
  <c r="E60" i="2" s="1"/>
  <c r="E61" i="2" s="1"/>
  <c r="B9" i="10"/>
  <c r="B11" i="10" s="1"/>
  <c r="B14" i="13"/>
  <c r="E78" i="2" s="1"/>
  <c r="E79" i="2" s="1"/>
  <c r="G189" i="2" s="1"/>
  <c r="I189" i="2" s="1"/>
  <c r="E27" i="2" l="1"/>
  <c r="H16" i="13"/>
  <c r="H32" i="9"/>
  <c r="H8" i="13" l="1"/>
  <c r="H17" i="13"/>
  <c r="B19" i="12"/>
  <c r="B15" i="12" s="1"/>
  <c r="D50" i="9"/>
  <c r="D94" i="9" s="1"/>
  <c r="G57" i="2" s="1"/>
  <c r="C50" i="9"/>
  <c r="C94" i="9" s="1"/>
  <c r="F57" i="2" s="1"/>
  <c r="B50" i="9"/>
  <c r="B94" i="9" s="1"/>
  <c r="E57" i="2" s="1"/>
  <c r="C74" i="15"/>
  <c r="B74" i="15"/>
  <c r="B71" i="15"/>
  <c r="G41" i="15" s="1"/>
  <c r="G58" i="15" s="1"/>
  <c r="B22" i="15" s="1"/>
  <c r="B70" i="15"/>
  <c r="G40" i="15" s="1"/>
  <c r="G57" i="15" s="1"/>
  <c r="B21" i="15" s="1"/>
  <c r="B69" i="15"/>
  <c r="C68" i="15"/>
  <c r="B68" i="15"/>
  <c r="G38" i="15" s="1"/>
  <c r="G55" i="15" s="1"/>
  <c r="B19" i="15" s="1"/>
  <c r="B61" i="15"/>
  <c r="G33" i="15" s="1"/>
  <c r="G50" i="15" s="1"/>
  <c r="B13" i="15" s="1"/>
  <c r="B57" i="15"/>
  <c r="B56" i="15"/>
  <c r="B55" i="15"/>
  <c r="G30" i="15" s="1"/>
  <c r="G47" i="15" s="1"/>
  <c r="B10" i="15" s="1"/>
  <c r="B54" i="15"/>
  <c r="G29" i="15" s="1"/>
  <c r="G46" i="15" s="1"/>
  <c r="B9" i="15" s="1"/>
  <c r="H43" i="15"/>
  <c r="H60" i="15" s="1"/>
  <c r="D24" i="15" s="1"/>
  <c r="G158" i="2" s="1"/>
  <c r="G43" i="15"/>
  <c r="G60" i="15" s="1"/>
  <c r="B24" i="15" s="1"/>
  <c r="H42" i="15"/>
  <c r="H59" i="15" s="1"/>
  <c r="D23" i="15" s="1"/>
  <c r="G42" i="15"/>
  <c r="G59" i="15" s="1"/>
  <c r="B23" i="15" s="1"/>
  <c r="G39" i="15"/>
  <c r="G56" i="15" s="1"/>
  <c r="B20" i="15" s="1"/>
  <c r="H38" i="15"/>
  <c r="H55" i="15" s="1"/>
  <c r="D19" i="15" s="1"/>
  <c r="H36" i="15"/>
  <c r="H53" i="15" s="1"/>
  <c r="D16" i="15" s="1"/>
  <c r="G36" i="15"/>
  <c r="G53" i="15" s="1"/>
  <c r="B16" i="15" s="1"/>
  <c r="H35" i="15"/>
  <c r="H52" i="15" s="1"/>
  <c r="D15" i="15" s="1"/>
  <c r="G35" i="15"/>
  <c r="G52" i="15" s="1"/>
  <c r="B15" i="15" s="1"/>
  <c r="H34" i="15"/>
  <c r="H51" i="15" s="1"/>
  <c r="D14" i="15" s="1"/>
  <c r="G34" i="15"/>
  <c r="G51" i="15" s="1"/>
  <c r="B14" i="15" s="1"/>
  <c r="G32" i="15"/>
  <c r="G49" i="15" s="1"/>
  <c r="B12" i="15" s="1"/>
  <c r="G31" i="15"/>
  <c r="G48" i="15" s="1"/>
  <c r="B11" i="15" s="1"/>
  <c r="B73" i="13"/>
  <c r="B72" i="13"/>
  <c r="B71" i="13"/>
  <c r="B70" i="13"/>
  <c r="B69" i="13"/>
  <c r="B68" i="13"/>
  <c r="B67" i="13"/>
  <c r="B66" i="13"/>
  <c r="B65" i="13"/>
  <c r="B64" i="13"/>
  <c r="B63" i="13"/>
  <c r="B62" i="13"/>
  <c r="B61" i="13"/>
  <c r="B60" i="13"/>
  <c r="B59" i="13"/>
  <c r="B58" i="13"/>
  <c r="B57" i="13"/>
  <c r="B56" i="13"/>
  <c r="B55" i="13"/>
  <c r="B54" i="13"/>
  <c r="B53" i="13"/>
  <c r="B49" i="13"/>
  <c r="B46" i="13"/>
  <c r="B47" i="13" s="1"/>
  <c r="C9" i="13" s="1"/>
  <c r="D9" i="13"/>
  <c r="J9" i="13" s="1"/>
  <c r="G71" i="2" s="1"/>
  <c r="B35" i="13"/>
  <c r="E120" i="2" s="1"/>
  <c r="B34" i="13"/>
  <c r="E118" i="2" s="1"/>
  <c r="B33" i="13"/>
  <c r="E116" i="2" s="1"/>
  <c r="B32" i="13"/>
  <c r="E114" i="2" s="1"/>
  <c r="B31" i="13"/>
  <c r="E112" i="2" s="1"/>
  <c r="B30" i="13"/>
  <c r="E110" i="2" s="1"/>
  <c r="B29" i="13"/>
  <c r="E108" i="2" s="1"/>
  <c r="B28" i="13"/>
  <c r="E106" i="2" s="1"/>
  <c r="B27" i="13"/>
  <c r="E104" i="2" s="1"/>
  <c r="B26" i="13"/>
  <c r="E102" i="2" s="1"/>
  <c r="B25" i="13"/>
  <c r="E100" i="2" s="1"/>
  <c r="B24" i="13"/>
  <c r="E98" i="2" s="1"/>
  <c r="B23" i="13"/>
  <c r="E96" i="2" s="1"/>
  <c r="B22" i="13"/>
  <c r="E94" i="2" s="1"/>
  <c r="B21" i="13"/>
  <c r="E92" i="2" s="1"/>
  <c r="B20" i="13"/>
  <c r="E90" i="2" s="1"/>
  <c r="B19" i="13"/>
  <c r="E88" i="2" s="1"/>
  <c r="B18" i="13"/>
  <c r="E86" i="2" s="1"/>
  <c r="E87" i="2" s="1"/>
  <c r="G192" i="2" s="1"/>
  <c r="I192" i="2" s="1"/>
  <c r="B17" i="13"/>
  <c r="E84" i="2" s="1"/>
  <c r="E85" i="2" s="1"/>
  <c r="B16" i="13"/>
  <c r="E82" i="2" s="1"/>
  <c r="E83" i="2" s="1"/>
  <c r="G191" i="2" s="1"/>
  <c r="I191" i="2" s="1"/>
  <c r="B15" i="13"/>
  <c r="E80" i="2" s="1"/>
  <c r="E81" i="2" s="1"/>
  <c r="B10" i="13"/>
  <c r="H11" i="13" s="1"/>
  <c r="E73" i="2" s="1"/>
  <c r="E74" i="2" s="1"/>
  <c r="H44" i="9"/>
  <c r="B49" i="9" s="1"/>
  <c r="L29" i="9"/>
  <c r="L30" i="9" s="1"/>
  <c r="B27" i="9" s="1"/>
  <c r="B71" i="9" s="1"/>
  <c r="E35" i="2" s="1"/>
  <c r="J29" i="9"/>
  <c r="J30" i="9" s="1"/>
  <c r="B26" i="9" s="1"/>
  <c r="B70" i="9" s="1"/>
  <c r="E34" i="2" s="1"/>
  <c r="H29" i="9"/>
  <c r="H30" i="9" s="1"/>
  <c r="B25" i="9" s="1"/>
  <c r="B69" i="9" s="1"/>
  <c r="E33" i="2" s="1"/>
  <c r="L27" i="9"/>
  <c r="B24" i="9" s="1"/>
  <c r="J27" i="9"/>
  <c r="B23" i="9" s="1"/>
  <c r="H27" i="9"/>
  <c r="B22" i="9" s="1"/>
  <c r="I19" i="9"/>
  <c r="I17" i="9"/>
  <c r="B35" i="9" s="1"/>
  <c r="B79" i="9" s="1"/>
  <c r="E43" i="2" s="1"/>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H215" i="2"/>
  <c r="H214" i="2"/>
  <c r="H213" i="2"/>
  <c r="H212" i="2"/>
  <c r="H211" i="2"/>
  <c r="H210" i="2"/>
  <c r="G210" i="2"/>
  <c r="I210" i="2" s="1"/>
  <c r="H209" i="2"/>
  <c r="H208" i="2"/>
  <c r="H207" i="2"/>
  <c r="H206" i="2"/>
  <c r="H205" i="2"/>
  <c r="H204" i="2"/>
  <c r="H203" i="2"/>
  <c r="H202" i="2"/>
  <c r="H201" i="2"/>
  <c r="H200" i="2"/>
  <c r="H199" i="2"/>
  <c r="H198" i="2"/>
  <c r="H197" i="2"/>
  <c r="H196" i="2"/>
  <c r="H195" i="2"/>
  <c r="H194" i="2"/>
  <c r="H193" i="2"/>
  <c r="H192" i="2"/>
  <c r="H191" i="2"/>
  <c r="H190" i="2"/>
  <c r="G190" i="2"/>
  <c r="I190" i="2" s="1"/>
  <c r="H188" i="2"/>
  <c r="G188" i="2"/>
  <c r="H178" i="2"/>
  <c r="H177" i="2"/>
  <c r="H176" i="2"/>
  <c r="H175" i="2"/>
  <c r="H174" i="2"/>
  <c r="H173" i="2"/>
  <c r="G173" i="2"/>
  <c r="I173" i="2" s="1"/>
  <c r="H172" i="2"/>
  <c r="H171" i="2"/>
  <c r="H170" i="2"/>
  <c r="G170" i="2"/>
  <c r="I170" i="2" s="1"/>
  <c r="G11" i="2"/>
  <c r="N5" i="2"/>
  <c r="D4" i="1"/>
  <c r="D3" i="1"/>
  <c r="C31" i="1" s="1"/>
  <c r="H33" i="13" l="1"/>
  <c r="H32" i="13"/>
  <c r="H31" i="13"/>
  <c r="J10" i="13"/>
  <c r="E139" i="2"/>
  <c r="E140" i="2" s="1"/>
  <c r="G178" i="2" s="1"/>
  <c r="I178" i="2" s="1"/>
  <c r="H14" i="15"/>
  <c r="B67" i="9"/>
  <c r="E31" i="2" s="1"/>
  <c r="E141" i="2"/>
  <c r="E142" i="2" s="1"/>
  <c r="H15" i="15"/>
  <c r="E145" i="2"/>
  <c r="E146" i="2" s="1"/>
  <c r="G179" i="2" s="1"/>
  <c r="I179" i="2" s="1"/>
  <c r="H17" i="15"/>
  <c r="E156" i="2"/>
  <c r="E157" i="2" s="1"/>
  <c r="G215" i="2" s="1"/>
  <c r="I215" i="2" s="1"/>
  <c r="H24" i="15"/>
  <c r="H10" i="15"/>
  <c r="E131" i="2"/>
  <c r="E132" i="2" s="1"/>
  <c r="G174" i="2" s="1"/>
  <c r="I174" i="2" s="1"/>
  <c r="E152" i="2"/>
  <c r="E153" i="2" s="1"/>
  <c r="G213" i="2" s="1"/>
  <c r="I213" i="2" s="1"/>
  <c r="H38" i="13"/>
  <c r="H22" i="13"/>
  <c r="E135" i="2"/>
  <c r="E136" i="2" s="1"/>
  <c r="G176" i="2" s="1"/>
  <c r="I176" i="2" s="1"/>
  <c r="H12" i="15"/>
  <c r="G141" i="2"/>
  <c r="J15" i="15"/>
  <c r="G145" i="2"/>
  <c r="J17" i="15"/>
  <c r="G156" i="2"/>
  <c r="J24" i="15"/>
  <c r="H11" i="15"/>
  <c r="E133" i="2"/>
  <c r="E134" i="2" s="1"/>
  <c r="G175" i="2" s="1"/>
  <c r="I175" i="2" s="1"/>
  <c r="H20" i="15"/>
  <c r="E148" i="2"/>
  <c r="E149" i="2" s="1"/>
  <c r="G211" i="2" s="1"/>
  <c r="I211" i="2" s="1"/>
  <c r="E154" i="2"/>
  <c r="E155" i="2" s="1"/>
  <c r="G214" i="2" s="1"/>
  <c r="I214" i="2" s="1"/>
  <c r="H23" i="15"/>
  <c r="H29" i="13"/>
  <c r="H28" i="13"/>
  <c r="H27" i="13"/>
  <c r="H34" i="13"/>
  <c r="H18" i="13"/>
  <c r="B9" i="13"/>
  <c r="I9" i="13"/>
  <c r="F71" i="2" s="1"/>
  <c r="E137" i="2"/>
  <c r="E138" i="2" s="1"/>
  <c r="G177" i="2" s="1"/>
  <c r="I177" i="2" s="1"/>
  <c r="H13" i="15"/>
  <c r="E143" i="2"/>
  <c r="E144" i="2" s="1"/>
  <c r="H16" i="15"/>
  <c r="G148" i="2"/>
  <c r="J20" i="15"/>
  <c r="E158" i="2"/>
  <c r="E159" i="2" s="1"/>
  <c r="H25" i="15"/>
  <c r="H25" i="13"/>
  <c r="H24" i="13"/>
  <c r="H23" i="13"/>
  <c r="H30" i="13"/>
  <c r="H21" i="13"/>
  <c r="B40" i="9"/>
  <c r="B43" i="9" s="1"/>
  <c r="E30" i="2"/>
  <c r="B50" i="13"/>
  <c r="B11" i="13" s="1"/>
  <c r="G143" i="2"/>
  <c r="J16" i="15"/>
  <c r="E150" i="2"/>
  <c r="E151" i="2" s="1"/>
  <c r="G212" i="2" s="1"/>
  <c r="I212" i="2" s="1"/>
  <c r="H21" i="15"/>
  <c r="J25" i="15"/>
  <c r="H37" i="13"/>
  <c r="H36" i="13"/>
  <c r="H20" i="13"/>
  <c r="H35" i="13"/>
  <c r="H19" i="13"/>
  <c r="H26" i="13"/>
  <c r="I10" i="13"/>
  <c r="H12" i="13"/>
  <c r="E119" i="2"/>
  <c r="G208" i="2" s="1"/>
  <c r="I208" i="2" s="1"/>
  <c r="E103" i="2"/>
  <c r="G200" i="2" s="1"/>
  <c r="I200" i="2" s="1"/>
  <c r="E117" i="2"/>
  <c r="G207" i="2" s="1"/>
  <c r="I207" i="2" s="1"/>
  <c r="E101" i="2"/>
  <c r="G199" i="2" s="1"/>
  <c r="I199" i="2" s="1"/>
  <c r="E111" i="2"/>
  <c r="G204" i="2" s="1"/>
  <c r="I204" i="2" s="1"/>
  <c r="E109" i="2"/>
  <c r="G203" i="2" s="1"/>
  <c r="I203" i="2" s="1"/>
  <c r="E93" i="2"/>
  <c r="E163" i="2" s="1"/>
  <c r="E95" i="2"/>
  <c r="G196" i="2" s="1"/>
  <c r="I196" i="2" s="1"/>
  <c r="E99" i="2"/>
  <c r="G198" i="2" s="1"/>
  <c r="I198" i="2" s="1"/>
  <c r="E97" i="2"/>
  <c r="G197" i="2" s="1"/>
  <c r="I197" i="2" s="1"/>
  <c r="E91" i="2"/>
  <c r="G194" i="2" s="1"/>
  <c r="I194" i="2" s="1"/>
  <c r="E107" i="2"/>
  <c r="G202" i="2" s="1"/>
  <c r="I202" i="2" s="1"/>
  <c r="E105" i="2"/>
  <c r="G201" i="2" s="1"/>
  <c r="I201" i="2" s="1"/>
  <c r="E115" i="2"/>
  <c r="G206" i="2" s="1"/>
  <c r="I206" i="2" s="1"/>
  <c r="E113" i="2"/>
  <c r="G205" i="2" s="1"/>
  <c r="I205" i="2" s="1"/>
  <c r="E89" i="2"/>
  <c r="G193" i="2" s="1"/>
  <c r="I193" i="2" s="1"/>
  <c r="E121" i="2"/>
  <c r="G209" i="2" s="1"/>
  <c r="I209" i="2" s="1"/>
  <c r="I188" i="2"/>
  <c r="B18" i="11"/>
  <c r="B17" i="12"/>
  <c r="B93" i="9"/>
  <c r="E56" i="2" s="1"/>
  <c r="B68" i="9"/>
  <c r="E32" i="2" s="1"/>
  <c r="B30" i="9"/>
  <c r="B33" i="9" s="1"/>
  <c r="B39" i="9" s="1"/>
  <c r="L26" i="9"/>
  <c r="L32" i="9" s="1"/>
  <c r="H31" i="9"/>
  <c r="B18" i="9"/>
  <c r="B32" i="9" s="1"/>
  <c r="B38" i="9" s="1"/>
  <c r="B41" i="9" l="1"/>
  <c r="L31" i="9"/>
  <c r="L33" i="9" s="1"/>
  <c r="G195" i="2"/>
  <c r="I195" i="2" s="1"/>
  <c r="H13" i="13"/>
  <c r="E75" i="2" s="1"/>
  <c r="E76" i="2" s="1"/>
  <c r="H14" i="13"/>
  <c r="B44" i="9"/>
  <c r="B47" i="9"/>
  <c r="B52" i="9" s="1"/>
  <c r="H9" i="13"/>
  <c r="E71" i="2" s="1"/>
  <c r="E72" i="2" s="1"/>
  <c r="H10" i="13"/>
  <c r="B42" i="9"/>
  <c r="B45" i="9" s="1"/>
  <c r="E66" i="2"/>
  <c r="B16" i="11"/>
  <c r="B14" i="11"/>
  <c r="B25" i="10" s="1"/>
  <c r="B21" i="10" s="1"/>
  <c r="B74" i="9"/>
  <c r="E38" i="2" s="1"/>
  <c r="B62" i="9"/>
  <c r="E26" i="2" s="1"/>
  <c r="E28" i="2" s="1"/>
  <c r="G171" i="2" s="1"/>
  <c r="I171" i="2" s="1"/>
  <c r="H33" i="9"/>
  <c r="B46" i="9" l="1"/>
  <c r="B48" i="9" s="1"/>
  <c r="B20" i="10"/>
  <c r="E63" i="2"/>
  <c r="E161" i="2" s="1"/>
  <c r="G181" i="2" s="1"/>
  <c r="I181" i="2" s="1"/>
  <c r="B23" i="10"/>
  <c r="B97" i="9"/>
  <c r="B64" i="9" s="1"/>
  <c r="J26" i="9"/>
  <c r="B76" i="9" l="1"/>
  <c r="B65" i="9"/>
  <c r="B77" i="9" s="1"/>
  <c r="B63" i="9"/>
  <c r="B75" i="9" s="1"/>
  <c r="B81" i="9" s="1"/>
  <c r="J31" i="9"/>
  <c r="J32" i="9"/>
  <c r="K36" i="9" s="1"/>
  <c r="H46" i="9" s="1"/>
  <c r="E29" i="2" l="1"/>
  <c r="E40" i="2"/>
  <c r="E39" i="2"/>
  <c r="B82" i="9"/>
  <c r="B85" i="9"/>
  <c r="B84" i="9"/>
  <c r="B83" i="9"/>
  <c r="B86" i="9"/>
  <c r="J33" i="9"/>
  <c r="I36" i="9" s="1"/>
  <c r="I37" i="9" s="1"/>
  <c r="H49" i="9"/>
  <c r="E41" i="2" l="1"/>
  <c r="E47" i="2" s="1"/>
  <c r="G172" i="2"/>
  <c r="I172" i="2" s="1"/>
  <c r="B89" i="9"/>
  <c r="E46" i="2"/>
  <c r="E49" i="2"/>
  <c r="E45" i="2"/>
  <c r="E55" i="2" s="1"/>
  <c r="E48" i="2"/>
  <c r="B91" i="9"/>
  <c r="B87" i="9"/>
  <c r="B88" i="9"/>
  <c r="E50" i="2" l="1"/>
  <c r="E53" i="2" s="1"/>
  <c r="E51" i="2"/>
  <c r="E52" i="2"/>
  <c r="B90" i="9"/>
  <c r="B92" i="9" s="1"/>
  <c r="E58" i="2"/>
  <c r="E162" i="2" s="1"/>
  <c r="G182" i="2" s="1"/>
  <c r="I182" i="2" s="1"/>
  <c r="E54" i="2" l="1"/>
  <c r="E160" i="2" s="1"/>
  <c r="G180" i="2" s="1"/>
  <c r="I180" i="2" s="1"/>
</calcChain>
</file>

<file path=xl/comments1.xml><?xml version="1.0" encoding="utf-8"?>
<comments xmlns="http://schemas.openxmlformats.org/spreadsheetml/2006/main">
  <authors>
    <author>Jeremie Hakian</author>
  </authors>
  <commentList>
    <comment ref="D206" authorId="0">
      <text>
        <r>
          <rPr>
            <b/>
            <sz val="9"/>
            <color indexed="81"/>
            <rFont val="Tahoma"/>
            <family val="2"/>
          </rPr>
          <t>Jeremie Hakian:</t>
        </r>
        <r>
          <rPr>
            <sz val="9"/>
            <color indexed="81"/>
            <rFont val="Tahoma"/>
            <family val="2"/>
          </rPr>
          <t xml:space="preserve">
Does not include PAH and PCB emissions.</t>
        </r>
      </text>
    </comment>
  </commentList>
</comments>
</file>

<file path=xl/comments2.xml><?xml version="1.0" encoding="utf-8"?>
<comments xmlns="http://schemas.openxmlformats.org/spreadsheetml/2006/main">
  <authors>
    <author>Jeremie Isaac Hakian</author>
  </authors>
  <commentList>
    <comment ref="H24" authorId="0">
      <text>
        <r>
          <rPr>
            <b/>
            <sz val="9"/>
            <color indexed="81"/>
            <rFont val="Tahoma"/>
            <family val="2"/>
          </rPr>
          <t>Jeremie Isaac Hakian:</t>
        </r>
        <r>
          <rPr>
            <sz val="9"/>
            <color indexed="81"/>
            <rFont val="Tahoma"/>
            <family val="2"/>
          </rPr>
          <t xml:space="preserve">
Assume starting temp, standard room temp</t>
        </r>
      </text>
    </comment>
    <comment ref="B54" authorId="0">
      <text>
        <r>
          <rPr>
            <b/>
            <sz val="9"/>
            <color indexed="81"/>
            <rFont val="Tahoma"/>
            <family val="2"/>
          </rPr>
          <t>Jeremie Isaac Hakian:</t>
        </r>
        <r>
          <rPr>
            <sz val="9"/>
            <color indexed="81"/>
            <rFont val="Tahoma"/>
            <family val="2"/>
          </rPr>
          <t xml:space="preserve">
Assume no NdFeB alloy is lost during strip casting</t>
        </r>
      </text>
    </comment>
    <comment ref="B97" authorId="0">
      <text>
        <r>
          <rPr>
            <b/>
            <sz val="9"/>
            <color indexed="81"/>
            <rFont val="Tahoma"/>
            <family val="2"/>
          </rPr>
          <t>Jeremie Isaac Hakian:</t>
        </r>
        <r>
          <rPr>
            <sz val="9"/>
            <color indexed="81"/>
            <rFont val="Tahoma"/>
            <family val="2"/>
          </rPr>
          <t xml:space="preserve">
Assume no NdFeB alloy is lost during strip casting</t>
        </r>
      </text>
    </comment>
  </commentList>
</comments>
</file>

<file path=xl/comments3.xml><?xml version="1.0" encoding="utf-8"?>
<comments xmlns="http://schemas.openxmlformats.org/spreadsheetml/2006/main">
  <authors>
    <author>Jeremie Isaac Hakian</author>
  </authors>
  <commentList>
    <comment ref="B14" authorId="0">
      <text>
        <r>
          <rPr>
            <b/>
            <sz val="9"/>
            <color indexed="81"/>
            <rFont val="Tahoma"/>
            <family val="2"/>
          </rPr>
          <t>Jeremie Isaac Hakian:</t>
        </r>
        <r>
          <rPr>
            <sz val="9"/>
            <color indexed="81"/>
            <rFont val="Tahoma"/>
            <family val="2"/>
          </rPr>
          <t xml:space="preserve">
Assume that the material is not de-gassed at this stage.</t>
        </r>
      </text>
    </comment>
    <comment ref="B25" authorId="0">
      <text>
        <r>
          <rPr>
            <b/>
            <sz val="9"/>
            <color indexed="81"/>
            <rFont val="Tahoma"/>
            <family val="2"/>
          </rPr>
          <t>Jeremie Isaac Hakian:</t>
        </r>
        <r>
          <rPr>
            <sz val="9"/>
            <color indexed="81"/>
            <rFont val="Tahoma"/>
            <family val="2"/>
          </rPr>
          <t xml:space="preserve">
Assume that the material is not de-gassed at this stage.</t>
        </r>
      </text>
    </comment>
  </commentList>
</comments>
</file>

<file path=xl/comments4.xml><?xml version="1.0" encoding="utf-8"?>
<comments xmlns="http://schemas.openxmlformats.org/spreadsheetml/2006/main">
  <authors>
    <author>Jeremie Isaac Hakian</author>
  </authors>
  <commentList>
    <comment ref="B9" authorId="0">
      <text>
        <r>
          <rPr>
            <b/>
            <sz val="9"/>
            <color indexed="81"/>
            <rFont val="Tahoma"/>
            <family val="2"/>
          </rPr>
          <t>Jeremie Isaac Hakian:</t>
        </r>
        <r>
          <rPr>
            <sz val="9"/>
            <color indexed="81"/>
            <rFont val="Tahoma"/>
            <family val="2"/>
          </rPr>
          <t xml:space="preserve">
Losses during this process are neglible.</t>
        </r>
      </text>
    </comment>
    <comment ref="B18" authorId="0">
      <text>
        <r>
          <rPr>
            <b/>
            <sz val="9"/>
            <color indexed="81"/>
            <rFont val="Tahoma"/>
            <family val="2"/>
          </rPr>
          <t>Jeremie Isaac Hakian:</t>
        </r>
        <r>
          <rPr>
            <sz val="9"/>
            <color indexed="81"/>
            <rFont val="Tahoma"/>
            <family val="2"/>
          </rPr>
          <t xml:space="preserve">
Losses during this process are neglible.</t>
        </r>
      </text>
    </comment>
  </commentList>
</comments>
</file>

<file path=xl/comments5.xml><?xml version="1.0" encoding="utf-8"?>
<comments xmlns="http://schemas.openxmlformats.org/spreadsheetml/2006/main">
  <authors>
    <author>Jeremie Isaac Hakian</author>
  </authors>
  <commentList>
    <comment ref="B10" authorId="0">
      <text>
        <r>
          <rPr>
            <b/>
            <sz val="9"/>
            <color indexed="81"/>
            <rFont val="Tahoma"/>
            <family val="2"/>
          </rPr>
          <t>Jeremie Isaac Hakian:</t>
        </r>
        <r>
          <rPr>
            <sz val="9"/>
            <color indexed="81"/>
            <rFont val="Tahoma"/>
            <family val="2"/>
          </rPr>
          <t xml:space="preserve">
No loss of material</t>
        </r>
      </text>
    </comment>
    <comment ref="E14" authorId="0">
      <text>
        <r>
          <rPr>
            <b/>
            <sz val="9"/>
            <color indexed="81"/>
            <rFont val="Tahoma"/>
            <family val="2"/>
          </rPr>
          <t>Jeremie Isaac Hakian:</t>
        </r>
        <r>
          <rPr>
            <sz val="9"/>
            <color indexed="81"/>
            <rFont val="Tahoma"/>
            <family val="2"/>
          </rPr>
          <t xml:space="preserve">
Energy use for aligning is assumed to be negligible.</t>
        </r>
      </text>
    </comment>
    <comment ref="B19" authorId="0">
      <text>
        <r>
          <rPr>
            <b/>
            <sz val="9"/>
            <color indexed="81"/>
            <rFont val="Tahoma"/>
            <family val="2"/>
          </rPr>
          <t>Jeremie Isaac Hakian:</t>
        </r>
        <r>
          <rPr>
            <sz val="9"/>
            <color indexed="81"/>
            <rFont val="Tahoma"/>
            <family val="2"/>
          </rPr>
          <t xml:space="preserve">
No loss of material</t>
        </r>
      </text>
    </comment>
  </commentList>
</comments>
</file>

<file path=xl/comments6.xml><?xml version="1.0" encoding="utf-8"?>
<comments xmlns="http://schemas.openxmlformats.org/spreadsheetml/2006/main">
  <authors>
    <author>Jeremie Isaac Hakian</author>
  </authors>
  <commentList>
    <comment ref="J10" authorId="0">
      <text>
        <r>
          <rPr>
            <b/>
            <sz val="9"/>
            <color indexed="81"/>
            <rFont val="Tahoma"/>
            <family val="2"/>
          </rPr>
          <t>Jeremie Isaac Hakian:</t>
        </r>
        <r>
          <rPr>
            <sz val="9"/>
            <color indexed="81"/>
            <rFont val="Tahoma"/>
            <family val="2"/>
          </rPr>
          <t xml:space="preserve">
max taken from Sprecher et al. 2014</t>
        </r>
      </text>
    </comment>
    <comment ref="G15" authorId="0">
      <text>
        <r>
          <rPr>
            <b/>
            <sz val="9"/>
            <color indexed="81"/>
            <rFont val="Tahoma"/>
            <family val="2"/>
          </rPr>
          <t>Jeremie Isaac Hakian:</t>
        </r>
        <r>
          <rPr>
            <sz val="9"/>
            <color indexed="81"/>
            <rFont val="Tahoma"/>
            <family val="2"/>
          </rPr>
          <t xml:space="preserve">
Sometimes hydrogen is recovered at this stage. However, this is not common and it is assumed that it is not in this case.
</t>
        </r>
      </text>
    </comment>
    <comment ref="A40" authorId="0">
      <text>
        <r>
          <rPr>
            <b/>
            <sz val="9"/>
            <color indexed="81"/>
            <rFont val="Tahoma"/>
            <family val="2"/>
          </rPr>
          <t>Jeremie Isaac Hakian:</t>
        </r>
        <r>
          <rPr>
            <sz val="9"/>
            <color indexed="81"/>
            <rFont val="Tahoma"/>
            <family val="2"/>
          </rPr>
          <t xml:space="preserve">
Assumes that electricity includes power consumed for air compression and suction and for exhaust gas cleaning in addition to heating.</t>
        </r>
      </text>
    </comment>
    <comment ref="A41" authorId="0">
      <text>
        <r>
          <rPr>
            <b/>
            <sz val="9"/>
            <color indexed="81"/>
            <rFont val="Tahoma"/>
            <family val="2"/>
          </rPr>
          <t>Jeremie Isaac Hakian:</t>
        </r>
        <r>
          <rPr>
            <sz val="9"/>
            <color indexed="81"/>
            <rFont val="Tahoma"/>
            <family val="2"/>
          </rPr>
          <t xml:space="preserve">
Assumes this electricity is only used for heating. </t>
        </r>
      </text>
    </comment>
    <comment ref="A48" authorId="0">
      <text>
        <r>
          <rPr>
            <b/>
            <sz val="9"/>
            <color indexed="81"/>
            <rFont val="Tahoma"/>
            <family val="2"/>
          </rPr>
          <t>Jeremie Isaac Hakian:</t>
        </r>
        <r>
          <rPr>
            <sz val="9"/>
            <color indexed="81"/>
            <rFont val="Tahoma"/>
            <family val="2"/>
          </rPr>
          <t xml:space="preserve">
Includes power consumed for air compression and suction and for exhaust gas cleaning.</t>
        </r>
      </text>
    </comment>
    <comment ref="A70" authorId="0">
      <text>
        <r>
          <rPr>
            <b/>
            <sz val="9"/>
            <color indexed="81"/>
            <rFont val="Tahoma"/>
            <family val="2"/>
          </rPr>
          <t>Jeremie Isaac Hakian:</t>
        </r>
        <r>
          <rPr>
            <sz val="9"/>
            <color indexed="81"/>
            <rFont val="Tahoma"/>
            <family val="2"/>
          </rPr>
          <t xml:space="preserve">
Does not include PAH and PCB</t>
        </r>
      </text>
    </comment>
    <comment ref="A73" authorId="0">
      <text>
        <r>
          <rPr>
            <b/>
            <sz val="9"/>
            <color indexed="81"/>
            <rFont val="Tahoma"/>
            <family val="2"/>
          </rPr>
          <t>Jeremie Isaac Hakian:</t>
        </r>
        <r>
          <rPr>
            <sz val="9"/>
            <color indexed="81"/>
            <rFont val="Tahoma"/>
            <family val="2"/>
          </rPr>
          <t xml:space="preserve">
Measured as 2,3,7,8-tetrachlorodibenzo-p-dioxin</t>
        </r>
      </text>
    </comment>
  </commentList>
</comments>
</file>

<file path=xl/comments7.xml><?xml version="1.0" encoding="utf-8"?>
<comments xmlns="http://schemas.openxmlformats.org/spreadsheetml/2006/main">
  <authors>
    <author>Jeremie Isaac Hakian</author>
  </authors>
  <commentList>
    <comment ref="F44" authorId="0">
      <text>
        <r>
          <rPr>
            <b/>
            <sz val="9"/>
            <color indexed="81"/>
            <rFont val="Tahoma"/>
            <family val="2"/>
          </rPr>
          <t>Jeremie Isaac Hakian:</t>
        </r>
        <r>
          <rPr>
            <sz val="9"/>
            <color indexed="81"/>
            <rFont val="Tahoma"/>
            <family val="2"/>
          </rPr>
          <t xml:space="preserve">
1kg magnet requires 0.068 m2 nickel coating according to Sprecher et al. 2014.</t>
        </r>
      </text>
    </comment>
  </commentList>
</comments>
</file>

<file path=xl/sharedStrings.xml><?xml version="1.0" encoding="utf-8"?>
<sst xmlns="http://schemas.openxmlformats.org/spreadsheetml/2006/main" count="2212" uniqueCount="946">
  <si>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</si>
  <si>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</si>
  <si>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</si>
  <si>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</si>
  <si>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</si>
  <si>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</si>
  <si>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</si>
  <si>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</si>
  <si>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</si>
  <si>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</si>
  <si>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</si>
  <si>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</si>
  <si>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</si>
  <si>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</si>
  <si>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</si>
  <si>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</si>
  <si>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</si>
  <si>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</si>
  <si>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</si>
  <si>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</si>
  <si>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</si>
  <si>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</si>
  <si>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</si>
  <si>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</si>
  <si>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</si>
  <si>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</si>
  <si>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</si>
  <si>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</si>
  <si>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</si>
  <si>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</si>
  <si>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</si>
  <si>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</si>
  <si>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</si>
  <si>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</si>
  <si>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</si>
  <si>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</si>
  <si>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</si>
  <si>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</si>
  <si>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</si>
  <si>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</si>
  <si>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</si>
  <si>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</si>
  <si>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</si>
  <si>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</si>
  <si>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</si>
  <si>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</si>
  <si>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</si>
  <si>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</si>
  <si>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</si>
  <si>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</si>
  <si>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</si>
  <si>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</si>
  <si>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</si>
  <si>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</si>
  <si>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</si>
  <si>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</si>
  <si>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</si>
  <si>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</si>
  <si>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</si>
  <si>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</si>
  <si>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</si>
  <si>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</si>
  <si>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</si>
  <si>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</si>
  <si>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</si>
  <si>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</si>
  <si>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</si>
  <si>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</si>
  <si>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</si>
  <si>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</si>
  <si>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</si>
  <si>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</si>
  <si>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</si>
  <si>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</si>
  <si>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</si>
  <si>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</si>
  <si>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</si>
  <si>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</si>
  <si>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</si>
  <si>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</si>
  <si>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</si>
  <si>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</si>
  <si>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</si>
  <si>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</si>
  <si>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</si>
  <si>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Nitrogen oxides [Inorganic emissions to air]</t>
  </si>
  <si>
    <t>Sulphur dioxide [Inorganic emissions to air]</t>
  </si>
  <si>
    <t>Carbon monoxide [Inorganic emissions to air]</t>
  </si>
  <si>
    <t>NMVOC (unspecified) [Group NMVOC to air]</t>
  </si>
  <si>
    <t>Dust (PM2.5) [Particles to air]</t>
  </si>
  <si>
    <t>Lead (+II) [Heavy metals to air]</t>
  </si>
  <si>
    <t>Mercury (+II) [Heavy metals to air]</t>
  </si>
  <si>
    <t>Hydrogen fluoride [Inorganic emissions to air]</t>
  </si>
  <si>
    <t>Emission to water</t>
  </si>
  <si>
    <t>Solid waste</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</si>
  <si>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</si>
  <si>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</si>
  <si>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</si>
  <si>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</si>
  <si>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</si>
  <si>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</si>
  <si>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</si>
  <si>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</si>
  <si>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</si>
  <si>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</si>
  <si>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</si>
  <si>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</si>
  <si>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</si>
  <si>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</si>
  <si>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</si>
  <si>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</si>
  <si>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</si>
  <si>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</si>
  <si>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</si>
  <si>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</si>
  <si>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</si>
  <si>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</si>
  <si>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</si>
  <si>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</si>
  <si>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</si>
  <si>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</si>
  <si>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</si>
  <si>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</si>
  <si>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</si>
  <si>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</si>
  <si>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</si>
  <si>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</si>
  <si>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</si>
  <si>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</si>
  <si>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</si>
  <si>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</si>
  <si>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</si>
  <si>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</si>
  <si>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</si>
  <si>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</si>
  <si>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</si>
  <si>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</si>
  <si>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</si>
  <si>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</si>
  <si>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</si>
  <si>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</si>
  <si>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</si>
  <si>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</si>
  <si>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</si>
  <si>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</si>
  <si>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</si>
  <si>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</si>
  <si>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</si>
  <si>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</si>
  <si>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</si>
  <si>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</si>
  <si>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</si>
  <si>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</si>
  <si>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</si>
  <si>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</si>
  <si>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</si>
  <si>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</si>
  <si>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</si>
  <si>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</si>
  <si>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</si>
  <si>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</si>
  <si>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</si>
  <si>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</si>
  <si>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</si>
  <si>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</si>
  <si>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</si>
  <si>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</si>
  <si>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</si>
  <si>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</si>
  <si>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</si>
  <si>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</si>
  <si>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</si>
  <si>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</si>
  <si>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</si>
  <si>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</si>
  <si>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</si>
  <si>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</si>
  <si>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</si>
  <si>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</si>
  <si>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</si>
  <si>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</si>
  <si>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</si>
  <si>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</si>
  <si>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</si>
  <si>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</si>
  <si>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</si>
  <si>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</si>
  <si>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</si>
  <si>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</si>
  <si>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</si>
  <si>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</si>
  <si>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</si>
  <si>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</si>
  <si>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</si>
  <si>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</si>
  <si>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</si>
  <si>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</si>
  <si>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</si>
  <si>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</si>
  <si>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</si>
  <si>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</si>
  <si>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</si>
  <si>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</si>
  <si>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</si>
  <si>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</si>
  <si>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</si>
  <si>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</si>
  <si>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</si>
  <si>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</si>
  <si>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</si>
  <si>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</si>
  <si>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</si>
  <si>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</si>
  <si>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</si>
  <si>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</si>
  <si>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</si>
  <si>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</si>
  <si>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</si>
  <si>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</si>
  <si>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</si>
  <si>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</si>
  <si>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</si>
  <si>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</si>
  <si>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</si>
  <si>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</si>
  <si>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</si>
  <si>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</si>
  <si>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</si>
  <si>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</si>
  <si>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</si>
  <si>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</si>
  <si>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</si>
  <si>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</si>
  <si>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</si>
  <si>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</si>
  <si>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</si>
  <si>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</si>
  <si>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</si>
  <si>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</si>
  <si>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</si>
  <si>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</si>
  <si>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</si>
  <si>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Flow</t>
  </si>
  <si>
    <t>Notes</t>
  </si>
  <si>
    <t>Conversion Factors</t>
  </si>
  <si>
    <t>Assumption #</t>
  </si>
  <si>
    <t>Source: Sprecher et al., 2014</t>
  </si>
  <si>
    <t>NdFeB Alloy Composition (mass%)</t>
  </si>
  <si>
    <t>Fe</t>
  </si>
  <si>
    <t>Nd</t>
  </si>
  <si>
    <t>B</t>
  </si>
  <si>
    <t>g/mol boron (B)</t>
  </si>
  <si>
    <t>Property</t>
  </si>
  <si>
    <t>Iron (Fe)</t>
  </si>
  <si>
    <r>
      <t>g/mol boron carbide (B</t>
    </r>
    <r>
      <rPr>
        <vertAlign val="subscript"/>
        <sz val="11"/>
        <color theme="1"/>
        <rFont val="Calibri"/>
        <family val="2"/>
        <scheme val="minor"/>
      </rPr>
      <t>4</t>
    </r>
    <r>
      <rPr>
        <sz val="11"/>
        <color theme="1"/>
        <rFont val="Calibri"/>
        <family val="2"/>
        <scheme val="minor"/>
      </rPr>
      <t>C)</t>
    </r>
  </si>
  <si>
    <t>Molar weight (kg/mol)</t>
  </si>
  <si>
    <t>Heat capacity (J/mol*K)</t>
  </si>
  <si>
    <t>%mass B input</t>
  </si>
  <si>
    <t>Melting point (C)</t>
  </si>
  <si>
    <t>Heat of fusion (J/mol)</t>
  </si>
  <si>
    <t>http://www.webelements.com/iron/thermochemistry.html</t>
  </si>
  <si>
    <r>
      <t>Boron carbide (B</t>
    </r>
    <r>
      <rPr>
        <b/>
        <vertAlign val="subscript"/>
        <sz val="11"/>
        <color theme="1"/>
        <rFont val="Calibri"/>
        <family val="2"/>
        <scheme val="minor"/>
      </rPr>
      <t>4</t>
    </r>
    <r>
      <rPr>
        <b/>
        <sz val="11"/>
        <color theme="1"/>
        <rFont val="Calibri"/>
        <family val="2"/>
        <scheme val="minor"/>
      </rPr>
      <t>C)</t>
    </r>
  </si>
  <si>
    <t>min</t>
  </si>
  <si>
    <t>max</t>
  </si>
  <si>
    <t>http://www.azom.com/properties.aspx?ArticleID=75</t>
  </si>
  <si>
    <t>Neodymium (Nd)</t>
  </si>
  <si>
    <t>Iron</t>
  </si>
  <si>
    <t>http://webbook.nist.gov/cgi/cbook.cgi?ID=C12069328&amp;Mask=2</t>
  </si>
  <si>
    <t>Boron carbide</t>
  </si>
  <si>
    <t>Heat</t>
  </si>
  <si>
    <t>MJ</t>
  </si>
  <si>
    <t>http://www.webelements.com/neodymium/thermochemistry.html</t>
  </si>
  <si>
    <t>Water</t>
  </si>
  <si>
    <t>Energy Inflow Factor Calculation</t>
  </si>
  <si>
    <t>NdFeB, flakes</t>
  </si>
  <si>
    <r>
      <t>Q</t>
    </r>
    <r>
      <rPr>
        <b/>
        <vertAlign val="subscript"/>
        <sz val="11"/>
        <color theme="1"/>
        <rFont val="Calibri"/>
        <family val="2"/>
        <scheme val="minor"/>
      </rPr>
      <t>in</t>
    </r>
    <r>
      <rPr>
        <b/>
        <sz val="11"/>
        <color theme="1"/>
        <rFont val="Calibri"/>
        <family val="2"/>
        <scheme val="minor"/>
      </rPr>
      <t xml:space="preserve"> (Fe) Calculation</t>
    </r>
  </si>
  <si>
    <r>
      <t>Q</t>
    </r>
    <r>
      <rPr>
        <b/>
        <vertAlign val="subscript"/>
        <sz val="11"/>
        <color theme="1"/>
        <rFont val="Calibri"/>
        <family val="2"/>
        <scheme val="minor"/>
      </rPr>
      <t>in</t>
    </r>
    <r>
      <rPr>
        <b/>
        <sz val="11"/>
        <color theme="1"/>
        <rFont val="Calibri"/>
        <family val="2"/>
        <scheme val="minor"/>
      </rPr>
      <t xml:space="preserve"> (B</t>
    </r>
    <r>
      <rPr>
        <b/>
        <vertAlign val="subscript"/>
        <sz val="11"/>
        <color theme="1"/>
        <rFont val="Calibri"/>
        <family val="2"/>
        <scheme val="minor"/>
      </rPr>
      <t>4</t>
    </r>
    <r>
      <rPr>
        <b/>
        <sz val="11"/>
        <color theme="1"/>
        <rFont val="Calibri"/>
        <family val="2"/>
        <scheme val="minor"/>
      </rPr>
      <t>C) Calculation</t>
    </r>
  </si>
  <si>
    <r>
      <t>Q</t>
    </r>
    <r>
      <rPr>
        <b/>
        <vertAlign val="subscript"/>
        <sz val="11"/>
        <color theme="1"/>
        <rFont val="Calibri"/>
        <family val="2"/>
        <scheme val="minor"/>
      </rPr>
      <t>in</t>
    </r>
    <r>
      <rPr>
        <b/>
        <sz val="11"/>
        <color theme="1"/>
        <rFont val="Calibri"/>
        <family val="2"/>
        <scheme val="minor"/>
      </rPr>
      <t xml:space="preserve"> (Nd) Calculation</t>
    </r>
  </si>
  <si>
    <t>mol</t>
  </si>
  <si>
    <t>J/mol*K</t>
  </si>
  <si>
    <r>
      <t>C (T</t>
    </r>
    <r>
      <rPr>
        <vertAlign val="subscript"/>
        <sz val="11"/>
        <color theme="1"/>
        <rFont val="Calibri"/>
        <family val="2"/>
        <scheme val="minor"/>
      </rPr>
      <t>initial</t>
    </r>
    <r>
      <rPr>
        <sz val="11"/>
        <color theme="1"/>
        <rFont val="Calibri"/>
        <family val="2"/>
        <scheme val="minor"/>
      </rPr>
      <t>)</t>
    </r>
  </si>
  <si>
    <r>
      <t>C (T</t>
    </r>
    <r>
      <rPr>
        <vertAlign val="subscript"/>
        <sz val="11"/>
        <color theme="1"/>
        <rFont val="Calibri"/>
        <family val="2"/>
        <scheme val="minor"/>
      </rPr>
      <t>final</t>
    </r>
    <r>
      <rPr>
        <sz val="11"/>
        <color theme="1"/>
        <rFont val="Calibri"/>
        <family val="2"/>
        <scheme val="minor"/>
      </rPr>
      <t>)</t>
    </r>
  </si>
  <si>
    <t>∆T</t>
  </si>
  <si>
    <r>
      <t>J (Q</t>
    </r>
    <r>
      <rPr>
        <vertAlign val="subscript"/>
        <sz val="11"/>
        <color theme="1"/>
        <rFont val="Calibri"/>
        <family val="2"/>
        <scheme val="minor"/>
      </rPr>
      <t>in</t>
    </r>
    <r>
      <rPr>
        <sz val="11"/>
        <color theme="1"/>
        <rFont val="Calibri"/>
        <family val="2"/>
        <scheme val="minor"/>
      </rPr>
      <t>)</t>
    </r>
  </si>
  <si>
    <t>J (heat of fusion)</t>
  </si>
  <si>
    <t>J (Total)</t>
  </si>
  <si>
    <t>Total Heat (weighted)</t>
  </si>
  <si>
    <t>Total energy absorbed (weighted)</t>
  </si>
  <si>
    <t>J</t>
  </si>
  <si>
    <t>Parameters</t>
  </si>
  <si>
    <t>amount</t>
  </si>
  <si>
    <t>units</t>
  </si>
  <si>
    <t>kJ/kg*K (Water)</t>
  </si>
  <si>
    <t>J/kg*K (Water)</t>
  </si>
  <si>
    <t>∆T (expected temp change water)</t>
  </si>
  <si>
    <t>J (energy absorbed for cooling)</t>
  </si>
  <si>
    <t>Water input calculation</t>
  </si>
  <si>
    <t>kg water/kg product</t>
  </si>
  <si>
    <t>wt% hydrogen</t>
  </si>
  <si>
    <t>kWh</t>
  </si>
  <si>
    <t>Hydrogen, gas</t>
  </si>
  <si>
    <t>Electricity</t>
  </si>
  <si>
    <t>NdFeB, flakes, cracked</t>
  </si>
  <si>
    <t>NdFeB, particles (5-7um)</t>
  </si>
  <si>
    <t>NdFeB, particles, aligned, compressed</t>
  </si>
  <si>
    <t>Min</t>
  </si>
  <si>
    <t>Max</t>
  </si>
  <si>
    <t>NdFeB, sintered block</t>
  </si>
  <si>
    <t>Waste heat</t>
  </si>
  <si>
    <t>PM (&lt;2.5)</t>
  </si>
  <si>
    <t>Cd</t>
  </si>
  <si>
    <t>Cr</t>
  </si>
  <si>
    <t>Cu</t>
  </si>
  <si>
    <t>Hg</t>
  </si>
  <si>
    <t>Mn</t>
  </si>
  <si>
    <t>Ni</t>
  </si>
  <si>
    <t>Pb</t>
  </si>
  <si>
    <t>Ti</t>
  </si>
  <si>
    <t>V</t>
  </si>
  <si>
    <t>Zn</t>
  </si>
  <si>
    <t>HCl</t>
  </si>
  <si>
    <t>HF</t>
  </si>
  <si>
    <t>Nox</t>
  </si>
  <si>
    <t>SO2</t>
  </si>
  <si>
    <t>CO</t>
  </si>
  <si>
    <t>CO2</t>
  </si>
  <si>
    <t>VOC</t>
  </si>
  <si>
    <t>PAH</t>
  </si>
  <si>
    <t>PCB</t>
  </si>
  <si>
    <t>Dioxin (I-TEQ)</t>
  </si>
  <si>
    <t>Max heat calculation</t>
  </si>
  <si>
    <t>Reference</t>
  </si>
  <si>
    <t xml:space="preserve">kWh </t>
  </si>
  <si>
    <t>Heat input requirements</t>
  </si>
  <si>
    <t>Input</t>
  </si>
  <si>
    <t>Coke chippings</t>
  </si>
  <si>
    <t>m3 water</t>
  </si>
  <si>
    <t>Natural gas</t>
  </si>
  <si>
    <t>m3</t>
  </si>
  <si>
    <t>Output</t>
  </si>
  <si>
    <t>Expected</t>
  </si>
  <si>
    <t>%</t>
  </si>
  <si>
    <t>NdFeB, magnet</t>
  </si>
  <si>
    <t>NdFeB, scrap waste</t>
  </si>
  <si>
    <t>Electroplating</t>
  </si>
  <si>
    <t>Sodium carbonate</t>
  </si>
  <si>
    <t>Trisodium phosphate</t>
  </si>
  <si>
    <t>Sodium gluconate</t>
  </si>
  <si>
    <t xml:space="preserve">Caustic soda </t>
  </si>
  <si>
    <t>Sulphuric acid</t>
  </si>
  <si>
    <t>Rinse with wastewater discharge</t>
  </si>
  <si>
    <t>Nickel</t>
  </si>
  <si>
    <t>NdFeB, magnet, plated</t>
  </si>
  <si>
    <t>Nickel to water (from nickel sulfamate)</t>
  </si>
  <si>
    <t>Nickel chloride</t>
  </si>
  <si>
    <t>Boric acid</t>
  </si>
  <si>
    <t>Sodium saccharinate</t>
  </si>
  <si>
    <t>Nickel (using wet scrubber system)</t>
  </si>
  <si>
    <t>Per square meter nickel coating</t>
  </si>
  <si>
    <t>Alkaline cleaning</t>
  </si>
  <si>
    <t>g</t>
  </si>
  <si>
    <t>L</t>
  </si>
  <si>
    <t>Acid drip</t>
  </si>
  <si>
    <t>mg</t>
  </si>
  <si>
    <t>Neodymium</t>
  </si>
  <si>
    <r>
      <t>Output</t>
    </r>
    <r>
      <rPr>
        <b/>
        <sz val="13.2"/>
        <color rgb="FF005842"/>
        <rFont val="Calibri"/>
        <family val="2"/>
        <scheme val="minor"/>
      </rPr>
      <t>  Parameters</t>
    </r>
  </si>
  <si>
    <t>Input Parameters</t>
  </si>
  <si>
    <t>Output Parameters</t>
  </si>
  <si>
    <r>
      <t>Input Parameters</t>
    </r>
    <r>
      <rPr>
        <b/>
        <sz val="13.2"/>
        <color rgb="FF005842"/>
        <rFont val="Calibri"/>
        <family val="2"/>
        <scheme val="minor"/>
      </rPr>
      <t>  </t>
    </r>
  </si>
  <si>
    <r>
      <t>Output Parameters</t>
    </r>
    <r>
      <rPr>
        <b/>
        <sz val="13.2"/>
        <color rgb="FF005842"/>
        <rFont val="Calibri"/>
        <family val="2"/>
        <scheme val="minor"/>
      </rPr>
      <t>  </t>
    </r>
  </si>
  <si>
    <t>J/kg*K</t>
  </si>
  <si>
    <t>Energy Absorbed</t>
  </si>
  <si>
    <t>Jet Milling Calculation</t>
  </si>
  <si>
    <t>Aligning and Pressing Calculation</t>
  </si>
  <si>
    <t>Alloying and Strip Casting Calculation</t>
  </si>
  <si>
    <t>Electroplating Calculation</t>
  </si>
  <si>
    <t>Grinding/Slicing Loss Rate</t>
  </si>
  <si>
    <t>Electroplating Loss Rate</t>
  </si>
  <si>
    <t xml:space="preserve">Normalized to 1kg NdFeB, magnet </t>
  </si>
  <si>
    <t>m2</t>
  </si>
  <si>
    <t>Normalized per 1kg magnet</t>
  </si>
  <si>
    <t>unitless</t>
  </si>
  <si>
    <t>Grinding/Slicing Loss Factor</t>
  </si>
  <si>
    <t>Hydrogen wt% Decrepitation</t>
  </si>
  <si>
    <t>C_Water</t>
  </si>
  <si>
    <t>delta_t_water</t>
  </si>
  <si>
    <r>
      <t>mass</t>
    </r>
    <r>
      <rPr>
        <vertAlign val="subscript"/>
        <sz val="10"/>
        <color rgb="FF000000"/>
        <rFont val="Tahoma"/>
        <family val="2"/>
      </rPr>
      <t>water</t>
    </r>
    <r>
      <rPr>
        <sz val="10"/>
        <color rgb="FF000000"/>
        <rFont val="Tahoma"/>
        <family val="2"/>
      </rPr>
      <t>/1 kg metal = heat of fusion/(c</t>
    </r>
    <r>
      <rPr>
        <vertAlign val="subscript"/>
        <sz val="10"/>
        <color rgb="FF000000"/>
        <rFont val="Tahoma"/>
        <family val="2"/>
      </rPr>
      <t>water</t>
    </r>
    <r>
      <rPr>
        <sz val="10"/>
        <color rgb="FF000000"/>
        <rFont val="Tahoma"/>
        <family val="2"/>
      </rPr>
      <t>*temperature-change-of-water)</t>
    </r>
  </si>
  <si>
    <t>delta_t_b4c</t>
  </si>
  <si>
    <t>C_b4c</t>
  </si>
  <si>
    <t>delta_t_nd</t>
  </si>
  <si>
    <t>molar_b4c</t>
  </si>
  <si>
    <t>molar_nd</t>
  </si>
  <si>
    <t>kg/mol</t>
  </si>
  <si>
    <t>mole_b4c</t>
  </si>
  <si>
    <t>mole_nd</t>
  </si>
  <si>
    <t>%_Fe</t>
  </si>
  <si>
    <t>%_Nd</t>
  </si>
  <si>
    <t>%_B</t>
  </si>
  <si>
    <t>delta_t_fe</t>
  </si>
  <si>
    <t>C_fe</t>
  </si>
  <si>
    <t>C_nd</t>
  </si>
  <si>
    <t>molar_fe</t>
  </si>
  <si>
    <t>mole_fe</t>
  </si>
  <si>
    <t>H_fe</t>
  </si>
  <si>
    <t>H_b4c</t>
  </si>
  <si>
    <t>H_nd</t>
  </si>
  <si>
    <t>J/mol</t>
  </si>
  <si>
    <t>fusion_fe</t>
  </si>
  <si>
    <t>fusion_b4c</t>
  </si>
  <si>
    <t>fusion_nd</t>
  </si>
  <si>
    <t>Q_fe</t>
  </si>
  <si>
    <t>Q_b4c</t>
  </si>
  <si>
    <t>Q_nd</t>
  </si>
  <si>
    <t>heat_fe</t>
  </si>
  <si>
    <t>heat_b4c</t>
  </si>
  <si>
    <t>heat_nd</t>
  </si>
  <si>
    <t>Total_Heat</t>
  </si>
  <si>
    <t>Heat_release</t>
  </si>
  <si>
    <t>%_B_mass</t>
  </si>
  <si>
    <t>Normalized to meet final product requirements</t>
  </si>
  <si>
    <t>Normalized to meet final product requirements (1kg NdFeB, magnet, plated)</t>
  </si>
  <si>
    <t>B4C</t>
  </si>
  <si>
    <t>Elec_decrep</t>
  </si>
  <si>
    <t>H2_decrep</t>
  </si>
  <si>
    <t>Elec_milling</t>
  </si>
  <si>
    <t>Elec_pressing</t>
  </si>
  <si>
    <t>PM2.5</t>
  </si>
  <si>
    <t>Dioxin</t>
  </si>
  <si>
    <t>G_S_Loss_Rate</t>
  </si>
  <si>
    <t>G_S_recycling_rate</t>
  </si>
  <si>
    <t>Grinding/Slicing Recycling rate</t>
  </si>
  <si>
    <t>G_S_Loss_Factor</t>
  </si>
  <si>
    <t>Elec_G_S</t>
  </si>
  <si>
    <t>Per square meter nickel coating (unit conversions)</t>
  </si>
  <si>
    <t>Per square meter nickel coating (IO aggregate)</t>
  </si>
  <si>
    <t>Elec_Loss_Rate</t>
  </si>
  <si>
    <t>Elec_Loss_Factor</t>
  </si>
  <si>
    <t>NaOH</t>
  </si>
  <si>
    <t>Nickel (emission to air)</t>
  </si>
  <si>
    <t>H2SO4</t>
  </si>
  <si>
    <t>Sodium_gluconate</t>
  </si>
  <si>
    <t>Na3PO4</t>
  </si>
  <si>
    <t>Na2CO3</t>
  </si>
  <si>
    <t>Water_D_electro</t>
  </si>
  <si>
    <t>NdFeB Permanent Magnet Manufacturing</t>
  </si>
  <si>
    <t>NdFeB Plated Magnet</t>
  </si>
  <si>
    <t>United States</t>
  </si>
  <si>
    <t>NA</t>
  </si>
  <si>
    <t>No</t>
  </si>
  <si>
    <t>C_Fe</t>
  </si>
  <si>
    <t>C_B4C</t>
  </si>
  <si>
    <t>C_Nd</t>
  </si>
  <si>
    <t>Delta_T_Fe</t>
  </si>
  <si>
    <t>Delta_T_B4C</t>
  </si>
  <si>
    <t>Delta_T_Nd</t>
  </si>
  <si>
    <t>Molar_Fe</t>
  </si>
  <si>
    <t>Molar_B4C</t>
  </si>
  <si>
    <t>Molar_Nd</t>
  </si>
  <si>
    <t>Mole_Fe</t>
  </si>
  <si>
    <t>Mole_B4C</t>
  </si>
  <si>
    <t>Mole_Nd</t>
  </si>
  <si>
    <t>H_Fe</t>
  </si>
  <si>
    <t>H_B4C</t>
  </si>
  <si>
    <t>H_Nd</t>
  </si>
  <si>
    <t>Fusion_Fe</t>
  </si>
  <si>
    <t>Fusion_B4C</t>
  </si>
  <si>
    <t>Fusion_Nd</t>
  </si>
  <si>
    <t>Q_Fe</t>
  </si>
  <si>
    <t>Q_B4C</t>
  </si>
  <si>
    <t>Q_Nd</t>
  </si>
  <si>
    <t>Heat_Fe</t>
  </si>
  <si>
    <t>Heat_B4C</t>
  </si>
  <si>
    <t>Heat_Nd</t>
  </si>
  <si>
    <t>Total_Heat_Alloy</t>
  </si>
  <si>
    <t>Heat_release_Alloy</t>
  </si>
  <si>
    <t>Water_Alloy</t>
  </si>
  <si>
    <t>Heat_alloy</t>
  </si>
  <si>
    <t>Delta_T_Water</t>
  </si>
  <si>
    <t>Heat_Rel_Alloy</t>
  </si>
  <si>
    <t>Tot_Heat_Alloy</t>
  </si>
  <si>
    <t>NdFeB_Flakes</t>
  </si>
  <si>
    <t>H2_Decrep</t>
  </si>
  <si>
    <t>Elec_Decrep</t>
  </si>
  <si>
    <t>NdFeB_Cracked</t>
  </si>
  <si>
    <t>Elec_Dec_Factor</t>
  </si>
  <si>
    <t>kWh/kg NdFeB, cracked</t>
  </si>
  <si>
    <t>Elec_Mill_Factor</t>
  </si>
  <si>
    <t>kWh/kg NdFeB, particles</t>
  </si>
  <si>
    <t>Elec_Milling</t>
  </si>
  <si>
    <t>Elec_Mil_Factor</t>
  </si>
  <si>
    <t>NdFeB_Particles</t>
  </si>
  <si>
    <t>Elec_Press_Factor</t>
  </si>
  <si>
    <t>kWh/kg NdFeB, pressed</t>
  </si>
  <si>
    <t>Elec_Pre_Factor</t>
  </si>
  <si>
    <t>Elec_Pressing</t>
  </si>
  <si>
    <t>NdFeB_Pressed</t>
  </si>
  <si>
    <t>Heat_sintering</t>
  </si>
  <si>
    <t>Elec_sintering</t>
  </si>
  <si>
    <t>Water_sintering</t>
  </si>
  <si>
    <t>Waste_heat_sintering</t>
  </si>
  <si>
    <t>Heat_Sintering</t>
  </si>
  <si>
    <t>Heat_Sint_Factor</t>
  </si>
  <si>
    <t>Heat_Sin_Factor</t>
  </si>
  <si>
    <t>MJ/kg NdFeB, sintered block</t>
  </si>
  <si>
    <t>Elec_Sin_Factor</t>
  </si>
  <si>
    <t>kWh/kg NdFeB, sintered block</t>
  </si>
  <si>
    <t>Elec_Sintering</t>
  </si>
  <si>
    <t>Wat_Sin_Factor</t>
  </si>
  <si>
    <t>Water_Sintering</t>
  </si>
  <si>
    <t>kg/kg NdFeB, sintered block</t>
  </si>
  <si>
    <t>NdFeB_Sintered</t>
  </si>
  <si>
    <t>Heat_W_Sin_Fac</t>
  </si>
  <si>
    <t>Heat_W_Sin</t>
  </si>
  <si>
    <t>PM2.5_Factor</t>
  </si>
  <si>
    <t>Cd_Factor</t>
  </si>
  <si>
    <t>Cr_Factor</t>
  </si>
  <si>
    <t>Cu_Factor</t>
  </si>
  <si>
    <t>Hg_Factor</t>
  </si>
  <si>
    <t>Mn_Factor</t>
  </si>
  <si>
    <t>Ni_Factor</t>
  </si>
  <si>
    <t>Pb_Factor</t>
  </si>
  <si>
    <t>Ti_Factor</t>
  </si>
  <si>
    <t>V_Factor</t>
  </si>
  <si>
    <t>Zn_Factor</t>
  </si>
  <si>
    <t>HCl_Factor</t>
  </si>
  <si>
    <t>HF_Factor</t>
  </si>
  <si>
    <t>NOX_Factor</t>
  </si>
  <si>
    <t>NOX</t>
  </si>
  <si>
    <t>SO2_Factor</t>
  </si>
  <si>
    <t>CO_Factor</t>
  </si>
  <si>
    <t>CO2_Factor</t>
  </si>
  <si>
    <t>VOC_Factor</t>
  </si>
  <si>
    <t>PAH_Factor</t>
  </si>
  <si>
    <t>PCB_Factor</t>
  </si>
  <si>
    <t>Dioxin_Factor</t>
  </si>
  <si>
    <t>Elec_G_S_Factor</t>
  </si>
  <si>
    <t>NdFeB_Scrap</t>
  </si>
  <si>
    <t>G_S_Recy_Rate</t>
  </si>
  <si>
    <t>NdFeB_Magnet</t>
  </si>
  <si>
    <t>Elec_Loss_Fact</t>
  </si>
  <si>
    <t>Na2CO3_Factor</t>
  </si>
  <si>
    <t>Na3PO4_Factor</t>
  </si>
  <si>
    <t>Sod_Gluc_Factor</t>
  </si>
  <si>
    <t>Sod_Gluc</t>
  </si>
  <si>
    <t>NaOH_Factor</t>
  </si>
  <si>
    <t>H2SO4_Factor</t>
  </si>
  <si>
    <t>Wat_Elec_Factor</t>
  </si>
  <si>
    <t>Wat_Elec</t>
  </si>
  <si>
    <t>Elec_Elect_Fact</t>
  </si>
  <si>
    <t>Elec_Elect</t>
  </si>
  <si>
    <t>Ni_Factor_2</t>
  </si>
  <si>
    <t>Ni_Wat_Factor</t>
  </si>
  <si>
    <t>NdFeB_Plated</t>
  </si>
  <si>
    <t>Ni_Wat</t>
  </si>
  <si>
    <t>Ni_Chlor_Factor</t>
  </si>
  <si>
    <t>Ni_Chlor</t>
  </si>
  <si>
    <t>Boric_Ac_Factor</t>
  </si>
  <si>
    <t>Boric_Ac</t>
  </si>
  <si>
    <t>Wat_D_Elec_Fac</t>
  </si>
  <si>
    <t>Wat_D_Elec</t>
  </si>
  <si>
    <t>Ni_Factor_3</t>
  </si>
  <si>
    <t>Ni_in</t>
  </si>
  <si>
    <t>Ni_air_2</t>
  </si>
  <si>
    <t>Ni_air</t>
  </si>
  <si>
    <t>Sodium_Sac</t>
  </si>
  <si>
    <t>Sodium_Sac_Fac</t>
  </si>
  <si>
    <t>kg/kg NdFeB, magnet</t>
  </si>
  <si>
    <t>kWh/kg NdFeB, magnet</t>
  </si>
  <si>
    <t>NdFeB, pressed</t>
  </si>
  <si>
    <t>Perc_Fe</t>
  </si>
  <si>
    <t>Perc_Nd</t>
  </si>
  <si>
    <t>Perc_B</t>
  </si>
  <si>
    <t>Perc_B_mass</t>
  </si>
  <si>
    <t>H2_Wt_Perc</t>
  </si>
  <si>
    <t>Perc_B*NdFeB_Flakes/Perc_B_mass</t>
  </si>
  <si>
    <t>Perc_Nd*NdFeB_Flakes</t>
  </si>
  <si>
    <t>Fe/Molar_Fe</t>
  </si>
  <si>
    <t>B4C/Molar_B4C</t>
  </si>
  <si>
    <t>Nd/Molar_Nd</t>
  </si>
  <si>
    <t>Mole_Fe*H_Fe</t>
  </si>
  <si>
    <t>Mole_B4C*H_B4C</t>
  </si>
  <si>
    <t>Mole_Nd*H_Nd</t>
  </si>
  <si>
    <t>C_Fe*Delta_T_Fe*Mole_Fe</t>
  </si>
  <si>
    <t>C_B4C*Delta_T_B4C*Mole_B4C</t>
  </si>
  <si>
    <t>C_Nd*Delta_T_Nd*Mole_Nd</t>
  </si>
  <si>
    <t>(Perc_Fe*Heat_Fe+Perc_Nd*Heat_Nd+Perc_B*Heat_B4C)/1000000</t>
  </si>
  <si>
    <t>Perc_Fe*Fusion_Fe+Perc_Nd*Fusion_B4C+Perc_B*Fusion_Nd</t>
  </si>
  <si>
    <t>Heat_Rel_Alloy/(C_Water*Delta_T_Water)</t>
  </si>
  <si>
    <t>Elec_Dec_Factor*NdFeB_Cracked</t>
  </si>
  <si>
    <t>Elec_Mil_Factor*NdFeB_Particles</t>
  </si>
  <si>
    <t>Elec_Pre_Factor*NdFeB_Pressed</t>
  </si>
  <si>
    <t>1/G_S_Loss_Factor*NdFeB_Magnet</t>
  </si>
  <si>
    <t>Heat_Sin_Factor*NdFeB_Sintered</t>
  </si>
  <si>
    <t>Elec_Sin_Factor*NdFeB_Sintered</t>
  </si>
  <si>
    <t>Wat_Sin_Factor*NdFeB_Sintered</t>
  </si>
  <si>
    <t>Heat_W_Sin_Fac*NdFeB_Sintered</t>
  </si>
  <si>
    <t>PM2.5_Factor*NdFeB_Sintered</t>
  </si>
  <si>
    <t>Cd_Factor*NdFeB_Sintered</t>
  </si>
  <si>
    <t>Cr_Factor*NdFeB_Sintered</t>
  </si>
  <si>
    <t>Cu_Factor*NdFeB_Sintered</t>
  </si>
  <si>
    <t>Hg_Factor*NdFeB_Sintered</t>
  </si>
  <si>
    <t>Mn_Factor*NdFeB_Sintered</t>
  </si>
  <si>
    <t>Ni_Factor*NdFeB_Sintered</t>
  </si>
  <si>
    <t>Pb_Factor*NdFeB_Sintered</t>
  </si>
  <si>
    <t>Ti_Factor*NdFeB_Sintered</t>
  </si>
  <si>
    <t>V_Factor*NdFeB_Sintered</t>
  </si>
  <si>
    <t>Zn_Factor*NdFeB_Sintered</t>
  </si>
  <si>
    <t>HCl_Factor*NdFeB_Sintered</t>
  </si>
  <si>
    <t>HF_Factor*NdFeB_Sintered</t>
  </si>
  <si>
    <t>NOX_Factor*NdFeB_Sintered</t>
  </si>
  <si>
    <t>SO2_Factor*NdFeB_Sintered</t>
  </si>
  <si>
    <t>CO_Factor*NdFeB_Sintered</t>
  </si>
  <si>
    <t>CO2_Factor*NdFeB_Sintered</t>
  </si>
  <si>
    <t>VOC_Factor*NdFeB_Sintered</t>
  </si>
  <si>
    <t>PAH_Factor*NdFeB_Sintered</t>
  </si>
  <si>
    <t>PCB_Factor*NdFeB_Sintered</t>
  </si>
  <si>
    <t>Dioxin_Factor*NdFeB_Sintered</t>
  </si>
  <si>
    <t>1-(1*G_S_Loss_Rate)</t>
  </si>
  <si>
    <t>1/Elec_Loss_Fact</t>
  </si>
  <si>
    <t>1-(1*Elec_Loss_Rate)</t>
  </si>
  <si>
    <t>Na2CO3_Factor/Elec_Loss_Fact</t>
  </si>
  <si>
    <t>Na3PO4_Factor/Elec_Loss_Fact</t>
  </si>
  <si>
    <t>Sod_Gluc_Factor/Elec_Loss_Fact</t>
  </si>
  <si>
    <t>NaOH_Factor/Elec_Loss_Fact</t>
  </si>
  <si>
    <t>H2SO4_Factor/Elec_Loss_Fact</t>
  </si>
  <si>
    <t>Wat_Elec_Factor/Elec_Loss_Fact</t>
  </si>
  <si>
    <t>Elec_Elect_Fact/Elec_Loss_Fact</t>
  </si>
  <si>
    <t>Ni_Factor_2/Elec_Loss_Fact</t>
  </si>
  <si>
    <t>Elec_Loss_Fact/Elec_Loss_Fact</t>
  </si>
  <si>
    <t>Ni_Wat_Factor/Elec_Loss_Fact</t>
  </si>
  <si>
    <t>Ni_Chlor_Factor/G_S_Loss_Factor</t>
  </si>
  <si>
    <t>Boric_Ac_Factor/Elec_Loss_Fact</t>
  </si>
  <si>
    <t>Sodium_Sac_Fac/Elec_Loss_Fact</t>
  </si>
  <si>
    <t>Wat_D_Elec_Fac/Elec_Loss_Fact</t>
  </si>
  <si>
    <t>Ni_Factor_3/Elec_Loss_Fact</t>
  </si>
  <si>
    <t>Fusion_Nd+Q_Nd</t>
  </si>
  <si>
    <t>Fusion_B4C+Q_B4C</t>
  </si>
  <si>
    <t>Fusion_Fe+Q_Fe</t>
  </si>
  <si>
    <t>kg Fe/kg NdFeB Alloy</t>
  </si>
  <si>
    <t>kg Nd/kg NdFeB Alloy</t>
  </si>
  <si>
    <t>kg B/kg NdFeB Alloy</t>
  </si>
  <si>
    <t>kg B/kg B4C</t>
  </si>
  <si>
    <t>Elec_G_S_Factor*NdFeB_Magnet</t>
  </si>
  <si>
    <t>NdFeB_Sintered*G_S_Loss_Rate*G_S_Recy_Rate</t>
  </si>
  <si>
    <t>Grinding and Slicing Calculation</t>
  </si>
  <si>
    <t>Vacuum Sintering Calculation</t>
  </si>
  <si>
    <t>Hydrogen Decrepitation Calculation</t>
  </si>
  <si>
    <r>
      <t>g B/mol B</t>
    </r>
    <r>
      <rPr>
        <vertAlign val="subscript"/>
        <sz val="11"/>
        <color theme="1"/>
        <rFont val="Calibri"/>
        <family val="2"/>
        <scheme val="minor"/>
      </rPr>
      <t>4</t>
    </r>
    <r>
      <rPr>
        <sz val="11"/>
        <color theme="1"/>
        <rFont val="Calibri"/>
        <family val="2"/>
        <scheme val="minor"/>
      </rPr>
      <t>C</t>
    </r>
  </si>
  <si>
    <t>Life cycle inventory of the production of rare earths and the subsequent production of NdFeB rare earth permanent magnets - Supporting Information</t>
  </si>
  <si>
    <t>2014</t>
  </si>
  <si>
    <t>Sprecher B.</t>
  </si>
  <si>
    <t>Xiao Y., Walton A., Speight J., Harris R., Klein R., Visser G., Kramer G.J.</t>
  </si>
  <si>
    <t>ACS Publications</t>
  </si>
  <si>
    <t>Sprecher B., Xiao Y., Walton A., Speight J., Harris R., Klein R., Visser G., and Kramer G.J. (2014). Life cycle inventory of the production of rare earths and the subsequent production of NdFeB rare earth permanent magnets - Supporting Information. ACS Publications. dx.doi.org/10.1021/es404596q. Environ. Sci. Technol.</t>
  </si>
  <si>
    <t xml:space="preserve">Life cycle inventory of the production of rare earths and the subsequent production of NdFeB rare earth permanent magnets </t>
  </si>
  <si>
    <t>Sprecher B., Xiao Y., Walton A., Speight J., Harris R., Klein R., Visser G., and Kramer G.J. (2014). Life cycle inventory of the production of rare earths and the subsequent production of NdFeB rare earth permanent magnets. ACS Publications. dx.doi.org/10.1021/es404596q. Environ. Sci. Technol.</t>
  </si>
  <si>
    <t>Iron: enthalpies and thermodynamic properties</t>
  </si>
  <si>
    <t>WebElements</t>
  </si>
  <si>
    <t>WebElements.com</t>
  </si>
  <si>
    <t>WebElements (2014). Iron: enthalpies and thermodynamic properties. WebElements.com. http://www.webelements.com/iron/thermochemistry.html. Last Accessed: July 9, 2014.</t>
  </si>
  <si>
    <t>[Reference 3]</t>
  </si>
  <si>
    <t>National Institute of Standards and Technology</t>
  </si>
  <si>
    <t>NIST</t>
  </si>
  <si>
    <t>National Institute of Standards and Technology (2014). Boron carbide. NIST. http://webbook.nist.gov/cgi/cbook.cgi?ID=C12069328&amp;Mask=2. Last Accessed: July 9, 2014.</t>
  </si>
  <si>
    <t>[Reference 4]</t>
  </si>
  <si>
    <t>Boron carbide (B4C) - Properties and information about boron carbide</t>
  </si>
  <si>
    <t>Azom</t>
  </si>
  <si>
    <t>Azom.com</t>
  </si>
  <si>
    <t>Azom (2014). Boron carbide (B4C) - Properties and information about boron carbide. Azom.com. http://www.azom.com/properties.aspx?ArticleID=75. Last Accessed: July 9, 2014.</t>
  </si>
  <si>
    <t>[Reference 5]</t>
  </si>
  <si>
    <t>Neodymium: enthalpies and thermodynamic properties</t>
  </si>
  <si>
    <t>WebElements (2014). Neodymium: enthalpies and thermodynamic properties. WebElements.com. http://www.webelements.com/neodymium/thermochemistry.html. Last Accessed: July 9, 2014.</t>
  </si>
  <si>
    <t>[Reference 6]</t>
  </si>
  <si>
    <t>http://www.engineeringtoolbox.com/water-thermal-properties-d_162.html</t>
  </si>
  <si>
    <t>The Engineering Toolbox</t>
  </si>
  <si>
    <t>engineeringtoolbox.com</t>
  </si>
  <si>
    <t>Water-thermal properties</t>
  </si>
  <si>
    <t>The Engineering Toolbox (2014). Water-thermal properties. Engineeringtoolbox.com. http://www.engineeringtoolbox.com/water-thermal-properties-d_162.html. Last Accessed: July 9, 2014.</t>
  </si>
  <si>
    <t>[Reference 7]</t>
  </si>
  <si>
    <t>[Assumption 1]</t>
  </si>
  <si>
    <t>1,2</t>
  </si>
  <si>
    <t>1,2,5</t>
  </si>
  <si>
    <t>1,2,3</t>
  </si>
  <si>
    <t>1,2,4</t>
  </si>
  <si>
    <t>1,2,4,6</t>
  </si>
  <si>
    <t>1,2,3,4,5,6</t>
  </si>
  <si>
    <t>1,2,3,4,5,6,7</t>
  </si>
  <si>
    <t>H2_wt_perc</t>
  </si>
  <si>
    <r>
      <t>kg H</t>
    </r>
    <r>
      <rPr>
        <vertAlign val="subscript"/>
        <sz val="11"/>
        <color theme="1"/>
        <rFont val="Calibri"/>
        <family val="2"/>
        <scheme val="minor"/>
      </rPr>
      <t>2</t>
    </r>
    <r>
      <rPr>
        <sz val="11"/>
        <color theme="1"/>
        <rFont val="Calibri"/>
        <family val="2"/>
        <scheme val="minor"/>
      </rPr>
      <t>/kg NdFeB, cracked</t>
    </r>
  </si>
  <si>
    <t>[Assumption 2]</t>
  </si>
  <si>
    <t>[Assumption 3]</t>
  </si>
  <si>
    <t>[Assumption 4]</t>
  </si>
  <si>
    <t>[Reference 1,2]</t>
  </si>
  <si>
    <t>[Assumption 5]</t>
  </si>
  <si>
    <t>[Assumption 6]</t>
  </si>
  <si>
    <t>Life cycle inventories of metals</t>
  </si>
  <si>
    <t>Classen M.</t>
  </si>
  <si>
    <t xml:space="preserve">Althaus H.-J., Blaser S., Tuchschmid M., Jungbluth N., Doka G., Faist Emmenegger M., Scharnhorst W., </t>
  </si>
  <si>
    <t>2009</t>
  </si>
  <si>
    <t>Classen M., Althaus H.-J., Blaser S., Tuchschmid M., Jungbluth N., Doka G., Faist Emmenegger M., and Scharnhorst W. (2009). Life cycle inventories of metals. Final report ecoinvest data v2.1, No 10. EMPA Dubendorf, Swiss Centre for Life Cycle Inventories, Dubendorf, CH, www.ecoinvent.ch</t>
  </si>
  <si>
    <t>www.ecoinvent.ch</t>
  </si>
  <si>
    <t>Swiss Centre for Life Cycle Inventories</t>
  </si>
  <si>
    <t>Electricity for heating</t>
  </si>
  <si>
    <t>Electricity reqs for grinding and slicing</t>
  </si>
  <si>
    <t>[Assumption 7]</t>
  </si>
  <si>
    <t>[Assumption 8]</t>
  </si>
  <si>
    <t>kg water</t>
  </si>
  <si>
    <t>1,2,8</t>
  </si>
  <si>
    <t>[Assumption 7,8]</t>
  </si>
  <si>
    <t>LCA comparison of electroplating and other thermal spray processes</t>
  </si>
  <si>
    <t>Moing A.</t>
  </si>
  <si>
    <t>Vardelle A., Legoux J., Themelis N.J.</t>
  </si>
  <si>
    <t>National Research Council Canada</t>
  </si>
  <si>
    <t>http://nparc.cisti-icist.nrc-cnrc.gc.ca/npsi/ctrl?action=rtdoc&amp;an=17118277&amp;lang=fr</t>
  </si>
  <si>
    <t>Moing A., Vardelle A., Legoux J., Themelis N.J. (2009). LCA comparison of electroplating and other thermal spray processes. National Research Council Canada. http://nparc.cisti-icist.nrc-cnrc.gc.ca/npsi/ctrl?action=rtdoc&amp;an=17118277&amp;lang=fr. Last Accessed: July 9, 2014.</t>
  </si>
  <si>
    <t>1,2,9</t>
  </si>
  <si>
    <t>1,25</t>
  </si>
  <si>
    <t>[Reference 9]</t>
  </si>
  <si>
    <t>Assumes that the cooling in strip casting casuses a change of water temperature ranging from 5 to 10 degrees.</t>
  </si>
  <si>
    <t>Assumes no NdFeB alloy is lost during strip casting.</t>
  </si>
  <si>
    <t>Assumes that the NdFeB is not de-gassed during hydrogen decrepitation.</t>
  </si>
  <si>
    <t>Assumes losses during jet milling are neglible.</t>
  </si>
  <si>
    <t>Assumes energy use for aligning is negligible.</t>
  </si>
  <si>
    <t>Assumes no loss of material during aligning and pressing.</t>
  </si>
  <si>
    <t>Assumes that electricity for vacuum sintering taken from reference 1,2 includes power consumed for air compression and suction and for exhaust gas cleaning in addition to heating.</t>
  </si>
  <si>
    <t>Assumes the difference between electricity reported from reference 1,2 and reference 8 is the electricity input required for heating.</t>
  </si>
  <si>
    <t>[kg Fe/kg NdFeB Alloy] Iron content in NdFeB alloy</t>
  </si>
  <si>
    <t>[kg Nd/kg NdFeB Alloy] Neodymium content in NdFeB alloy</t>
  </si>
  <si>
    <t>[kg B/kg NdFeB Alloy] Boron content in NdFeB alloy</t>
  </si>
  <si>
    <t>[kg B/kg B4C] Boron content in Boron carbide</t>
  </si>
  <si>
    <t>[kg] Iron required in alloying process</t>
  </si>
  <si>
    <t>[kg] Boron carbide required in alloying process</t>
  </si>
  <si>
    <t>[kg] Neodymium required in alloying process</t>
  </si>
  <si>
    <t>[J/mol*K] Specific heat of Iron</t>
  </si>
  <si>
    <t>[J/mol*K] Specific heat of Boron carbide</t>
  </si>
  <si>
    <t>[J/mol*K] Specific heat of Neodymium</t>
  </si>
  <si>
    <t>[kg/mol] Molar mass of Iron</t>
  </si>
  <si>
    <t>[kg/mol] Molar mass of Boron carbide</t>
  </si>
  <si>
    <t>[kg/mol] Molar mass of Neodymium</t>
  </si>
  <si>
    <t>[mol] Moles of Iron required in alloying process</t>
  </si>
  <si>
    <t>[mol] Moles of Boron carbide required in alloying process</t>
  </si>
  <si>
    <t>[mol] Moles of Neodymium required in alloying process</t>
  </si>
  <si>
    <t>[J/mol] Heat of fusion for Iron</t>
  </si>
  <si>
    <t>[J/mol] Heat of fusion for Boron carbide</t>
  </si>
  <si>
    <t>[J/mol] Heat of fusion for Neodymium</t>
  </si>
  <si>
    <t>[J] Energy requirements to fully melt Iron content</t>
  </si>
  <si>
    <t>[J] Energy requirements to fully melt Boron carbide content</t>
  </si>
  <si>
    <t>[J] Energy requirements to fully melt Neodymium content</t>
  </si>
  <si>
    <t>[J] Energy requirements to fully bring Iron content to melting point</t>
  </si>
  <si>
    <t>[J] Energy requirements to fully bring Boron carbide content to melting point</t>
  </si>
  <si>
    <t>[J] Energy requirements to fully bring Neodymium content to melting point</t>
  </si>
  <si>
    <t>[J] Total heat required to heat Iron content and melt fully</t>
  </si>
  <si>
    <t>[J] Total heat required to heat Boron carbide content and melt fully</t>
  </si>
  <si>
    <t>[J] Total heat required to heat Neodymium content and melt fully</t>
  </si>
  <si>
    <r>
      <t>[MJ] Total heat required to make smelt NdFeB alloy. Divided by 10</t>
    </r>
    <r>
      <rPr>
        <vertAlign val="superscript"/>
        <sz val="10"/>
        <rFont val="Arial"/>
        <family val="2"/>
      </rPr>
      <t>6</t>
    </r>
    <r>
      <rPr>
        <sz val="10"/>
        <rFont val="Arial"/>
        <family val="2"/>
      </rPr>
      <t xml:space="preserve"> to convert J to MJ.</t>
    </r>
  </si>
  <si>
    <t>[J] Energy released when NdFeB is brought to solid phase</t>
  </si>
  <si>
    <t>[J/kg*K] Specific heat of water</t>
  </si>
  <si>
    <t>[kg] Amount of water required to cool NdFeB alloy in strip casting process</t>
  </si>
  <si>
    <t>[kg] Amount of NdFeB flakes required to ultimately produce 1kg NdFeB plated magnet</t>
  </si>
  <si>
    <t>H2_Wt_Perc*NdFeB_Cracked</t>
  </si>
  <si>
    <t>[kg H2/kg NdFeB, cracked] Hydrogen gas content per 1kg of cracked NdFeB</t>
  </si>
  <si>
    <t>[kg] Hydrogen gas required in hydrogen decrepitation</t>
  </si>
  <si>
    <t>[kWh/kg NdFeB, cracked] Electricity input required per 1kg of cracked NdFeB</t>
  </si>
  <si>
    <t>[kWh] Electricity input required for hydrogen decrepitation process</t>
  </si>
  <si>
    <t>[kg] Amount of cracked NdFeB required to ultimately produce 1kg NdFeB plated magnet</t>
  </si>
  <si>
    <t>[kWh/kg NdFeB, particles] Electricity input required for 1kg NdFeB particles</t>
  </si>
  <si>
    <t>[kWh] Electricity input required for jet milling process</t>
  </si>
  <si>
    <t>[kg] NdFeB particles required to ultimately produce 1kg NdFeB plated magnet</t>
  </si>
  <si>
    <t>[kWh/kg NdFeB, pressed] Electricity input required for 1kg pressed NdFeB</t>
  </si>
  <si>
    <t>[kWh] Electricity input required for pressing</t>
  </si>
  <si>
    <t>[kg] Amount of pressed NdFeB required to ultimately produce 1kg of NdFeB plated magnet</t>
  </si>
  <si>
    <t>[MJ/kg NdFeB, sintered block] Heat input required per 1 kg NdFeB sintered block</t>
  </si>
  <si>
    <t>[MJ] Heat input required for sintering process</t>
  </si>
  <si>
    <t>[kWh/kg NdFeB, sintered block] Electricity input required per 1 kg NdFeB sintered block</t>
  </si>
  <si>
    <t>[kWh] Electricity input required for sintering process</t>
  </si>
  <si>
    <t>[kg/kg NdFeB, sintered block] Water input required per 1 kg NdFeB sintered block</t>
  </si>
  <si>
    <t>[kg] Water input required for sintering process</t>
  </si>
  <si>
    <t>[kg] Amount of NdFeB sintered block required to ultimately produce 1 kg NdFeB plated magnet</t>
  </si>
  <si>
    <t>[MJ/kg NDfEB, sintered block] Waste heat output per kg of NdFeB sintered block</t>
  </si>
  <si>
    <t>[MJ] Waste heat output for sintering process</t>
  </si>
  <si>
    <t>[kg/kg NdFeB, sintered block] Nickel emitted to air per 1kg of NdFeB sintered block</t>
  </si>
  <si>
    <t>[kg] Nickel emitted to air for sintering process</t>
  </si>
  <si>
    <t>[kg/kg NdFeB, sintered block] Lead emitted to air per 1kg of NdFeB sintered block</t>
  </si>
  <si>
    <t>[kg] Lead emitted to air for sintering process</t>
  </si>
  <si>
    <t>[kg/kg NdFeB, sintered block] Titanium emitted to air per 1kg of NdFeB sintered block</t>
  </si>
  <si>
    <t>[kg] Titanium emitted to air for sintering process</t>
  </si>
  <si>
    <t>[kg/kg NdFeB, sintered block] Vanadium emitted to air per 1kg of NdFeB sintered block</t>
  </si>
  <si>
    <t>[kg] Vanadium emitted to air for sintering process</t>
  </si>
  <si>
    <t>[kg/kg NdFeB, sintered block] Zinc emitted to air per 1kg of NdFeB sintered block</t>
  </si>
  <si>
    <t>[kg] Zinc emitted to air for sintering process</t>
  </si>
  <si>
    <t>[kg/kg NdFeB, sintered block] Hydrochloric acid emitted to air per 1kg of NdFeB sintered block</t>
  </si>
  <si>
    <t>[kg/kg NdFeB, sintered block] Particulate matter less than 2.5 microns emitted to air per 1kg of NdFeB sintered block</t>
  </si>
  <si>
    <t>[kg] Particulate matter less than 2.5 microns emitted to air  for sintering process</t>
  </si>
  <si>
    <t>[kg/kg NdFeB, sintered block] Cadmium emitted  to air per 1kg of NdFeB sintered block</t>
  </si>
  <si>
    <t>[kg] Cadmium emitted  to air for sintering process</t>
  </si>
  <si>
    <t>[kg/kg NdFeB, sintered block] Chromium emitted  to air per 1kg of NdFeB sintered block</t>
  </si>
  <si>
    <t>[kg] Chromium emitted  to air for sintering process</t>
  </si>
  <si>
    <t>[kg/kg NdFeB, sintered block] Copper emitted  to air per 1kg of NdFeB sintered block</t>
  </si>
  <si>
    <t>[kg] Copper emitted  to air for sintering process</t>
  </si>
  <si>
    <t>[kg/kg NdFeB, sintered block] Mercury emitted to air  per 1kg of NdFeB sintered block</t>
  </si>
  <si>
    <t>[kg] Mercury emitted to air  for sintering process</t>
  </si>
  <si>
    <t>[kg/kg NdFeB, sintered block] Manganese emitted  to air per 1kg of NdFeB sintered block</t>
  </si>
  <si>
    <t>[kg] Manganese emitted  to air for sintering process</t>
  </si>
  <si>
    <t>[kg] Hydrochloric emitted to air for sintering process</t>
  </si>
  <si>
    <t>[kg/kg NdFeB, sintered block] Hydrofluoric acid emitted to air per 1kg of NdFeB sintered block</t>
  </si>
  <si>
    <t>[kg] Hydrofluoric emitted to air for sintering process</t>
  </si>
  <si>
    <t>[kg/kg NdFeB, sintered block] Nitrogen oxides emitted to air per 1kg of NdFeB sintered block</t>
  </si>
  <si>
    <t>[kg] Nitrogen oxides emitted to air for sintering process</t>
  </si>
  <si>
    <t>[kg/kg NdFeB, sintered block] Sulfur dioxide emitted to air per 1kg of NdFeB sintered block</t>
  </si>
  <si>
    <t>[kg] Sulfur dioxide emitted to air for sintering process</t>
  </si>
  <si>
    <t>[kg/kg NdFeB, sintered block] Carbon monoxide emitted to air per 1kg of NdFeB sintered block</t>
  </si>
  <si>
    <t>[kg] Carbon monoxide emitted to air for sintering process</t>
  </si>
  <si>
    <t>[kg/kg NdFeB, sintered block] Carbon dioxide emitted to air per 1kg of NdFeB sintered block</t>
  </si>
  <si>
    <t>[kg] Carbon dioxide emitted to air for sintering process</t>
  </si>
  <si>
    <t>[kg/kg NdFeB, sintered block] Volatile organic compounds (not including PAH or PCB) emitted to air per 1kg of NdFeB sintered block</t>
  </si>
  <si>
    <t>[kg] Volatile organic compounds (not including PAH or PCB) emitted to air for sintering process</t>
  </si>
  <si>
    <t>[kg/kg NdFeB, sintered block] Polycyclic aromatic hydrocarbons emitted to air per 1kg of NdFeB sintered block</t>
  </si>
  <si>
    <t>[kg] Polycyclic aromatic hydrocarbons emitted to air for sintering process</t>
  </si>
  <si>
    <t>[kg/kg NdFeB, sintered block] Polychlorinated biphenyls emitted to air per 1kg of NdFeB sintered block</t>
  </si>
  <si>
    <t>[kg] Polychlorinated biphenyls emitted to air for sintering process</t>
  </si>
  <si>
    <t>[kg/kg NdFeB, sintered block] 2,3,7,8-tetrachlorodibenzo-p-dioxin emitted to air per 1kg of NdFeB sintered block</t>
  </si>
  <si>
    <t>[kg]  2,3,7,8-tetrachlorodibenzo-p-dioxin emitted to air for sintering process</t>
  </si>
  <si>
    <t>[%] Percent of NdFeB sintered block lost during grinding and slicing process</t>
  </si>
  <si>
    <t>[%] Percent of scrap/lost material recycled/reclaimed</t>
  </si>
  <si>
    <t>Factor to normalize flow requirements in grinding and slicing process to ultimately produce 1kg of NdFeB plated magnet</t>
  </si>
  <si>
    <t>[kWh/kg NdFeB, magnet] Electricty input required for 1 kg NdFeB magnet</t>
  </si>
  <si>
    <t>[kWh] Electricity input required for grinding and slicing process</t>
  </si>
  <si>
    <t>[kg] NdFeB magnet required to ultimately produce 1kg of NdFeB plated magnet</t>
  </si>
  <si>
    <t>[kg] Amount of recycled scrap from grinding and slicing process</t>
  </si>
  <si>
    <t>[%] Percent of NdFeB magnet lost during electroplating process</t>
  </si>
  <si>
    <t>Factor to normalize flow requirements in electroplating process to ultimately produce 1kg of NdFeB plated magnet</t>
  </si>
  <si>
    <t>[kg] Sodium carbonate input required for electroplating process</t>
  </si>
  <si>
    <t>[kg/kg NdFeB, magnet] Sodium carbonate input required per 1kg input NdFeB magnet in electroplating process</t>
  </si>
  <si>
    <t>[kg/kg NdFeB, magnet] Trisodium phosphate input required per 1kg input NdFeB magnet in electroplating process</t>
  </si>
  <si>
    <t>[kg] Trisodium phosphate input required for electroplating process</t>
  </si>
  <si>
    <t>[kg/kg NdFeB, magnet] Sodium gluconate input required per 1kg input NdFeB magnet in electroplating process</t>
  </si>
  <si>
    <t>[kg] Sodium gluconate input required for electroplating process</t>
  </si>
  <si>
    <t>[kg/kg NdFeB, magnet] Sodium hydroxide input required per 1kg input NdFeB magnet in electroplating process</t>
  </si>
  <si>
    <t>[kg] Sodium hydroxide input required for electroplating process</t>
  </si>
  <si>
    <t>[kg/kg NdFeB, magnet] Sulphuric acid input required per 1kg input NdFeB magnet in electroplating process</t>
  </si>
  <si>
    <t>[kg] Sulphuric acid input required for electroplating process</t>
  </si>
  <si>
    <t>[kg/kg NdFeB, magnet] Water input required per 1kg input NdFeB magnet in electroplating process</t>
  </si>
  <si>
    <t>[kg] Water input required for electroplating process</t>
  </si>
  <si>
    <t>[kg/kg NdFeB, magnet] Electricity input required per 1kg input NdFeB magnet in electroplating process</t>
  </si>
  <si>
    <t>[kg] Electricity input required for electroplating process</t>
  </si>
  <si>
    <t>[kg/kg NdFeB, magnet] Nickel input required per 1kg input NdFeB magnet in electroplating process</t>
  </si>
  <si>
    <t>[kg] Nickel input required for electroplating process</t>
  </si>
  <si>
    <t>[kg] NdFeB plated magnet output, final product</t>
  </si>
  <si>
    <t>[kg/kg NdFeB, magnet] Nickel chloride emissions per 1kg input NdFeB magnet in electroplating process</t>
  </si>
  <si>
    <t>[kg] Nickel chloride emissions from electroplating process</t>
  </si>
  <si>
    <t>[kg] Nickel sulfamate emissions to water from electroplating process</t>
  </si>
  <si>
    <t>Nickel sulfamate (water emission)</t>
  </si>
  <si>
    <t xml:space="preserve">Nickel sulfamate to water </t>
  </si>
  <si>
    <t>[kg/kg NdFeB, magnet] Boric acid emissions per 1kg input NdFeB magnet in electroplating process</t>
  </si>
  <si>
    <t>[kg] Boric acid emissions from electroplating process</t>
  </si>
  <si>
    <t>[kg/kg NdFeB, magnet] Sodium saccharinate emissions per 1kg input NdFeB magnet in electroplating process</t>
  </si>
  <si>
    <t>[kg] Sodium saccharinate emissions from electroplating process</t>
  </si>
  <si>
    <t>[kg] Waste water emissions from electroplating process</t>
  </si>
  <si>
    <t>[kg/kg NdFeB, magnet] Nickel emissions to air per 1kg input NdFeB magnet in electroplating process</t>
  </si>
  <si>
    <t>[kg] Nickel emissions to air from electroplating process</t>
  </si>
  <si>
    <t>Tot_Heat</t>
  </si>
  <si>
    <t>Tot_Water</t>
  </si>
  <si>
    <t>Tot_Electricity</t>
  </si>
  <si>
    <t>Tot_Heat_Alloy+Heat_Sintering</t>
  </si>
  <si>
    <t>[MJ] Total heat required to ultimately produce 1kg NdFeB plated magnet in permanent magnet manufacturing</t>
  </si>
  <si>
    <t>[kWh] Total electricity required to ultimately produce 1kg NdFeB plated magnet in permanent magnet manufacturing</t>
  </si>
  <si>
    <t>[kg] Total water required to ultimately produce 1kg NdFeB plated magnet in permanent magnet manufacturing</t>
  </si>
  <si>
    <t>1,2,3,4,5,6,8</t>
  </si>
  <si>
    <t>1,2,3,4,5,6,7,8,9</t>
  </si>
  <si>
    <t>Elec_Decrep+Elec_Milling+Elec_Pressing+Elec_G_S+Elec_Elect</t>
  </si>
  <si>
    <t>Elec_elect</t>
  </si>
  <si>
    <t>Wat_elec</t>
  </si>
  <si>
    <t>Iron [Intermediate]</t>
  </si>
  <si>
    <t>Boron carbide [Intermediate]</t>
  </si>
  <si>
    <t>Neodymium [Intermediate]</t>
  </si>
  <si>
    <t>Hydrogen gas [Intermediate]</t>
  </si>
  <si>
    <t>Sodium carbonate [Intermediate]</t>
  </si>
  <si>
    <t>Trisodium phosphate [Intermediate]</t>
  </si>
  <si>
    <t>Sodium gluconate [Intermediate]</t>
  </si>
  <si>
    <t>Sodium hydroxide [Intermediate]</t>
  </si>
  <si>
    <t>Sulphuric acid [Intermediate]</t>
  </si>
  <si>
    <t>Heat [Intermediate]</t>
  </si>
  <si>
    <t>Electricity [Intermediate]</t>
  </si>
  <si>
    <t>NdFeB plated magnet [Intermediate product]</t>
  </si>
  <si>
    <t>[Technosphere]</t>
  </si>
  <si>
    <t>[Resource]</t>
  </si>
  <si>
    <t>Water [unspecified]</t>
  </si>
  <si>
    <t>Waste water - untreated [Production residues in life cycle]</t>
  </si>
  <si>
    <t>Water_Alloy+Water_Sintering+Wat_Elec</t>
  </si>
  <si>
    <t>Waste heat [Other]</t>
  </si>
  <si>
    <t>Cadmium (+II) [Heavy metals to air]</t>
  </si>
  <si>
    <t>Copper (+II) [Heavy metals to air]</t>
  </si>
  <si>
    <t>Manganese (+II) [Heavy metals to air]</t>
  </si>
  <si>
    <t>Nickel (+II) [Heavy metals to air]</t>
  </si>
  <si>
    <t>Nickel (+II) [Heavy metals to fresh water]</t>
  </si>
  <si>
    <t>Nickel [Metals] [Intermediate]</t>
  </si>
  <si>
    <t>Titanium [Heavy metals to air]</t>
  </si>
  <si>
    <t>Vanadium (+III) [Heavy metals to air]</t>
  </si>
  <si>
    <t>Zinc (+II) [Heavy metals to air]</t>
  </si>
  <si>
    <t>Polycyclic aromatic hydrocarbons (carcinogenic) [Group PAH to air]</t>
  </si>
  <si>
    <t>Tot_Ni_Air</t>
  </si>
  <si>
    <t>Ni_air+Ni_air_2</t>
  </si>
  <si>
    <t>Polychlorinated biphenyls (PCB unspecified) [Halogenated organic emissions to air]</t>
  </si>
  <si>
    <t>1,2,8,9</t>
  </si>
  <si>
    <t>[kg] Total nickel emissions to air to ultimately produce 1kg NdFeB plated magnet in permanent magnet manufacturing</t>
  </si>
  <si>
    <t>Dioxins, measured as 2,3,7,8-tetrachlorodibenzo-p-dioxin [unspecified]</t>
  </si>
  <si>
    <t>Boric acid [Inorganic emissions to fresh water]</t>
  </si>
  <si>
    <t>Nickel chloride [Inorganic emissions to fresh water</t>
  </si>
  <si>
    <t>Sodium saccharinate [Organic emissions to fresh water]</t>
  </si>
  <si>
    <t>Nickel_chloride (water emission)</t>
  </si>
  <si>
    <t>Boric_acid (water emission)</t>
  </si>
  <si>
    <t>Sodium_sacch (water emission)</t>
  </si>
  <si>
    <t>NdFeB scrap [Solid waste]</t>
  </si>
  <si>
    <t>Hydrochloric acid [Inorganic emission to air]</t>
  </si>
  <si>
    <t>Waste Water</t>
  </si>
  <si>
    <r>
      <t xml:space="preserve">Note: All inputs and outputs are normalized per the reference flow (e.g., per </t>
    </r>
    <r>
      <rPr>
        <b/>
        <sz val="10"/>
        <color indexed="8"/>
        <rFont val="Arial"/>
        <family val="2"/>
      </rPr>
      <t xml:space="preserve">kg </t>
    </r>
    <r>
      <rPr>
        <sz val="10"/>
        <color indexed="8"/>
        <rFont val="Arial"/>
        <family val="2"/>
      </rPr>
      <t>of NdFeB Plated Magnet)</t>
    </r>
  </si>
  <si>
    <t>This unit process provides a summary of relevant input and output flows associated with the manufacturing of 1kg of plated NdFeB permanent magnet. The unit process include widely used industrial processes for making NdFeB permanent magnets, which include alloying and strip casting, hydrogen decrepitation, jet milling, aligning and pressing, vacuum sintering, grinding and slicing, and electroplating. Input and output flows are aggregated and represent all of these sub-processes rolled into one unit process, "NdFeB Permanent Magnet Manufacturing".</t>
  </si>
  <si>
    <t>Manufacturing process for 1kg plated NdFeB permanent magnet</t>
  </si>
  <si>
    <t>Alloying</t>
  </si>
  <si>
    <t>Hydrogen Decrepitation</t>
  </si>
  <si>
    <t>Jet Milling</t>
  </si>
  <si>
    <t>Aligning and Pressing</t>
  </si>
  <si>
    <t>Vacuum Sintering</t>
  </si>
  <si>
    <t>Grinding and Slicing</t>
  </si>
  <si>
    <t>Calculations for alloying and strip casting process</t>
  </si>
  <si>
    <t>Calculations for hydrogen decrepitation process</t>
  </si>
  <si>
    <t>Calculations for jet milling process</t>
  </si>
  <si>
    <t>Calculations for aligning and pressing process</t>
  </si>
  <si>
    <t>Calculations for vacuum sintering process</t>
  </si>
  <si>
    <t>Calculations for grinding and slicing process</t>
  </si>
  <si>
    <t>Calculations for electroplating process</t>
  </si>
  <si>
    <t>[kg/kg NdFeB, magnet] Nickel sulfamate emissions to water per 1kg input NdFeB magnet in electroplating process</t>
  </si>
  <si>
    <t>[kg/kg NdFeB, magnet] Waste water emissions per 1kg input NdFeB magnet in electroplating process</t>
  </si>
  <si>
    <t>Perc_Fe*NdFeB_Flakes</t>
  </si>
  <si>
    <t>∆C</t>
  </si>
  <si>
    <t>[∆C] Increase in water temperature during cooling in strip casting process</t>
  </si>
  <si>
    <r>
      <t>[</t>
    </r>
    <r>
      <rPr>
        <sz val="10"/>
        <rFont val="Calibri"/>
        <family val="2"/>
      </rPr>
      <t>∆C</t>
    </r>
    <r>
      <rPr>
        <sz val="10"/>
        <rFont val="Arial"/>
        <family val="2"/>
      </rPr>
      <t>] Increase in temperature required to reach melting point of Iron</t>
    </r>
  </si>
  <si>
    <r>
      <t>[</t>
    </r>
    <r>
      <rPr>
        <sz val="10"/>
        <rFont val="Calibri"/>
        <family val="2"/>
      </rPr>
      <t>∆C</t>
    </r>
    <r>
      <rPr>
        <sz val="10"/>
        <rFont val="Arial"/>
        <family val="2"/>
      </rPr>
      <t>] Increase in temperature required to reach melting point of Boron carbide</t>
    </r>
  </si>
  <si>
    <r>
      <t>[</t>
    </r>
    <r>
      <rPr>
        <sz val="10"/>
        <rFont val="Calibri"/>
        <family val="2"/>
      </rPr>
      <t>∆C</t>
    </r>
    <r>
      <rPr>
        <sz val="10"/>
        <rFont val="Arial"/>
        <family val="2"/>
      </rPr>
      <t>] Increase in temperature required to reach melting point of Neodymium</t>
    </r>
  </si>
  <si>
    <t>Tot_Water_out</t>
  </si>
  <si>
    <t>Wat_D_Elec+Water_Alloy</t>
  </si>
  <si>
    <t>[kg] Total water discharged to produce 1 kg NdFeB plated magnet in permanent magnet manufacturing</t>
  </si>
  <si>
    <t>1,2,3,4,5,6,7,9</t>
  </si>
  <si>
    <t>[Assumption 9]</t>
  </si>
  <si>
    <t>Assumes cooling water is completely discharged with sufficient source of water used for once-through cooling required for strip casting.</t>
  </si>
  <si>
    <t>This unit process is composed of this document and the file, DF_Stage1_O_NdFeB_Magnet_Manufacturing.2014.01.docx,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</si>
</sst>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00E+00"/>
    <numFmt numFmtId="175" formatCode="0.0%"/>
  </numFmts>
  <fonts count="66"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b/>
      <sz val="16"/>
      <color theme="4" tint="-0.249977111117893"/>
      <name val="Calibri"/>
      <family val="2"/>
      <scheme val="minor"/>
    </font>
    <font>
      <sz val="11"/>
      <color rgb="FF000000"/>
      <name val="Calibri"/>
      <family val="2"/>
      <scheme val="minor"/>
    </font>
    <font>
      <vertAlign val="subscript"/>
      <sz val="11"/>
      <color theme="1"/>
      <name val="Calibri"/>
      <family val="2"/>
      <scheme val="minor"/>
    </font>
    <font>
      <b/>
      <vertAlign val="subscript"/>
      <sz val="11"/>
      <color theme="1"/>
      <name val="Calibri"/>
      <family val="2"/>
      <scheme val="minor"/>
    </font>
    <font>
      <b/>
      <sz val="11"/>
      <color rgb="FF000000"/>
      <name val="Calibri"/>
      <family val="2"/>
      <scheme val="minor"/>
    </font>
    <font>
      <b/>
      <sz val="13"/>
      <color rgb="FF333333"/>
      <name val="Calibri"/>
      <family val="2"/>
      <scheme val="minor"/>
    </font>
    <font>
      <b/>
      <sz val="13.2"/>
      <color rgb="FF005842"/>
      <name val="Calibri"/>
      <family val="2"/>
      <scheme val="minor"/>
    </font>
    <font>
      <sz val="11"/>
      <name val="Calibri"/>
      <family val="2"/>
      <scheme val="minor"/>
    </font>
    <font>
      <sz val="10"/>
      <color rgb="FF000000"/>
      <name val="Tahoma"/>
      <family val="2"/>
    </font>
    <font>
      <vertAlign val="subscript"/>
      <sz val="10"/>
      <color rgb="FF000000"/>
      <name val="Tahoma"/>
      <family val="2"/>
    </font>
    <font>
      <sz val="11"/>
      <color theme="1"/>
      <name val="Calibri"/>
      <family val="2"/>
    </font>
    <font>
      <u/>
      <sz val="11"/>
      <color theme="10"/>
      <name val="Calibri"/>
      <family val="2"/>
      <scheme val="minor"/>
    </font>
    <font>
      <b/>
      <i/>
      <sz val="12"/>
      <color theme="1"/>
      <name val="Calibri"/>
      <family val="2"/>
      <scheme val="minor"/>
    </font>
    <font>
      <sz val="10"/>
      <name val="Calibri"/>
      <family val="2"/>
    </font>
    <font>
      <vertAlign val="superscript"/>
      <sz val="10"/>
      <name val="Arial"/>
      <family val="2"/>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6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s>
  <cellStyleXfs count="99">
    <xf numFmtId="0" fontId="0" fillId="0" borderId="0"/>
    <xf numFmtId="43" fontId="1" fillId="0" borderId="0" applyFont="0" applyFill="0" applyBorder="0" applyAlignment="0" applyProtection="0"/>
    <xf numFmtId="0" fontId="4" fillId="0" borderId="0"/>
    <xf numFmtId="0" fontId="24" fillId="0" borderId="0" applyNumberFormat="0" applyFill="0" applyBorder="0" applyAlignment="0" applyProtection="0">
      <alignment vertical="top"/>
      <protection locked="0"/>
    </xf>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3" borderId="0" applyNumberFormat="0" applyBorder="0" applyAlignment="0" applyProtection="0"/>
    <xf numFmtId="0" fontId="33" fillId="17" borderId="0" applyNumberFormat="0" applyBorder="0" applyAlignment="0" applyProtection="0"/>
    <xf numFmtId="0" fontId="34" fillId="34" borderId="44" applyNumberFormat="0" applyAlignment="0" applyProtection="0"/>
    <xf numFmtId="0" fontId="35"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7" fillId="0" borderId="0" applyFont="0" applyFill="0" applyBorder="0" applyAlignment="0" applyProtection="0">
      <alignment vertical="center"/>
    </xf>
    <xf numFmtId="0" fontId="36" fillId="0" borderId="0" applyNumberFormat="0" applyFill="0" applyBorder="0" applyAlignment="0" applyProtection="0"/>
    <xf numFmtId="0" fontId="37" fillId="18" borderId="0" applyNumberFormat="0" applyBorder="0" applyAlignment="0" applyProtection="0"/>
    <xf numFmtId="0" fontId="38" fillId="0" borderId="46"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1" borderId="44" applyNumberFormat="0" applyAlignment="0" applyProtection="0"/>
    <xf numFmtId="0" fontId="43" fillId="0" borderId="49" applyNumberFormat="0" applyFill="0" applyAlignment="0" applyProtection="0"/>
    <xf numFmtId="0" fontId="44"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5"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7" fillId="0" borderId="0">
      <alignment horizontal="center" vertical="center"/>
    </xf>
    <xf numFmtId="0" fontId="48" fillId="0" borderId="0" applyNumberFormat="0" applyFill="0" applyBorder="0" applyAlignment="0" applyProtection="0"/>
    <xf numFmtId="0" fontId="49" fillId="0" borderId="55" applyNumberFormat="0" applyFill="0" applyAlignment="0" applyProtection="0"/>
    <xf numFmtId="0" fontId="50"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62" fillId="0" borderId="0" applyNumberFormat="0" applyFill="0" applyBorder="0" applyAlignment="0" applyProtection="0"/>
  </cellStyleXfs>
  <cellXfs count="575">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15" fillId="0" borderId="16" xfId="0" applyFont="1" applyBorder="1" applyAlignment="1">
      <alignment vertical="top"/>
    </xf>
    <xf numFmtId="0" fontId="4"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9"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21"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2"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3"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4" fillId="0" borderId="0" xfId="2" applyFont="1" applyAlignment="1">
      <alignment horizontal="left" vertical="top"/>
    </xf>
    <xf numFmtId="0" fontId="24"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4"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5"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6" fillId="7" borderId="0" xfId="2" applyFont="1" applyFill="1"/>
    <xf numFmtId="0" fontId="4" fillId="7" borderId="0" xfId="2" applyFill="1"/>
    <xf numFmtId="0" fontId="6" fillId="10" borderId="42" xfId="2" applyFont="1" applyFill="1" applyBorder="1" applyAlignment="1">
      <alignment horizontal="center"/>
    </xf>
    <xf numFmtId="0" fontId="27" fillId="0" borderId="42" xfId="2" applyFont="1" applyBorder="1" applyAlignment="1">
      <alignment wrapText="1"/>
    </xf>
    <xf numFmtId="0" fontId="28"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7" fillId="0" borderId="0" xfId="2" applyFont="1" applyBorder="1" applyAlignment="1">
      <alignment wrapText="1"/>
    </xf>
    <xf numFmtId="0" fontId="26"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9" fillId="0" borderId="0" xfId="0" applyFont="1"/>
    <xf numFmtId="0" fontId="26" fillId="0" borderId="0" xfId="0" applyFont="1" applyFill="1" applyBorder="1" applyAlignment="1">
      <alignment horizontal="left"/>
    </xf>
    <xf numFmtId="0" fontId="30"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4" fillId="0" borderId="0" xfId="3" applyFont="1" applyAlignment="1" applyProtection="1"/>
    <xf numFmtId="0" fontId="4" fillId="0" borderId="10" xfId="2" applyFont="1" applyFill="1" applyBorder="1" applyAlignment="1">
      <alignment horizontal="center" vertical="center" wrapText="1"/>
    </xf>
    <xf numFmtId="0" fontId="0" fillId="0" borderId="0" xfId="0" applyFont="1"/>
    <xf numFmtId="0" fontId="51" fillId="0" borderId="0" xfId="0" applyFont="1"/>
    <xf numFmtId="0" fontId="0" fillId="0" borderId="0" xfId="0" applyFont="1" applyFill="1" applyBorder="1" applyAlignment="1">
      <alignment horizontal="left"/>
    </xf>
    <xf numFmtId="0" fontId="0" fillId="0" borderId="0" xfId="0" applyFont="1" applyFill="1" applyBorder="1"/>
    <xf numFmtId="9" fontId="0" fillId="0" borderId="0" xfId="0" applyNumberFormat="1" applyFont="1"/>
    <xf numFmtId="0" fontId="3" fillId="0" borderId="0" xfId="0" applyFont="1" applyFill="1" applyBorder="1"/>
    <xf numFmtId="0" fontId="3" fillId="0" borderId="0" xfId="0" applyFont="1" applyFill="1" applyBorder="1" applyAlignment="1">
      <alignment horizontal="center"/>
    </xf>
    <xf numFmtId="174" fontId="0" fillId="0" borderId="0" xfId="0" applyNumberFormat="1" applyFont="1" applyFill="1" applyBorder="1" applyAlignment="1">
      <alignment horizontal="center" wrapText="1"/>
    </xf>
    <xf numFmtId="0" fontId="0" fillId="0" borderId="0" xfId="0" applyFont="1" applyFill="1" applyBorder="1" applyAlignment="1">
      <alignment horizontal="center" wrapText="1"/>
    </xf>
    <xf numFmtId="0" fontId="3" fillId="0" borderId="26" xfId="0" applyFont="1" applyBorder="1"/>
    <xf numFmtId="0" fontId="3" fillId="0" borderId="27" xfId="0" applyFont="1" applyBorder="1" applyAlignment="1">
      <alignment horizontal="center"/>
    </xf>
    <xf numFmtId="0" fontId="52" fillId="0" borderId="0" xfId="0" applyFont="1"/>
    <xf numFmtId="0" fontId="0" fillId="0" borderId="31" xfId="0" applyFont="1" applyBorder="1" applyAlignment="1">
      <alignment horizontal="left"/>
    </xf>
    <xf numFmtId="0" fontId="0" fillId="0" borderId="32" xfId="0" applyFont="1" applyBorder="1" applyAlignment="1">
      <alignment horizontal="center"/>
    </xf>
    <xf numFmtId="10" fontId="0" fillId="0" borderId="0" xfId="0" applyNumberFormat="1" applyFont="1"/>
    <xf numFmtId="0" fontId="0" fillId="0" borderId="56" xfId="0" applyFont="1" applyBorder="1" applyAlignment="1">
      <alignment horizontal="left"/>
    </xf>
    <xf numFmtId="0" fontId="0" fillId="0" borderId="34" xfId="0" applyFont="1" applyBorder="1" applyAlignment="1">
      <alignment horizontal="center"/>
    </xf>
    <xf numFmtId="0" fontId="0" fillId="0" borderId="36" xfId="0" applyFont="1" applyFill="1" applyBorder="1" applyAlignment="1">
      <alignment horizontal="left"/>
    </xf>
    <xf numFmtId="0" fontId="0" fillId="0" borderId="37" xfId="0" applyFont="1" applyFill="1" applyBorder="1" applyAlignment="1">
      <alignment horizontal="center"/>
    </xf>
    <xf numFmtId="0" fontId="3" fillId="0" borderId="57" xfId="0" applyFont="1" applyBorder="1" applyAlignment="1">
      <alignment horizontal="center"/>
    </xf>
    <xf numFmtId="0" fontId="0" fillId="0" borderId="16" xfId="0" applyFont="1" applyBorder="1" applyAlignment="1">
      <alignment horizontal="center"/>
    </xf>
    <xf numFmtId="0" fontId="0" fillId="0" borderId="0" xfId="0" applyFont="1" applyFill="1"/>
    <xf numFmtId="0" fontId="0" fillId="0" borderId="19" xfId="0" applyFont="1" applyBorder="1" applyAlignment="1">
      <alignment horizontal="center"/>
    </xf>
    <xf numFmtId="0" fontId="55" fillId="0" borderId="0" xfId="0" applyFont="1" applyFill="1" applyBorder="1" applyAlignment="1">
      <alignment horizontal="left" vertical="top" wrapText="1"/>
    </xf>
    <xf numFmtId="0" fontId="55" fillId="0" borderId="0" xfId="0" applyFont="1" applyFill="1" applyBorder="1" applyAlignment="1">
      <alignment horizontal="center" vertical="top" wrapText="1"/>
    </xf>
    <xf numFmtId="0" fontId="3" fillId="0" borderId="0" xfId="0" applyFont="1"/>
    <xf numFmtId="0" fontId="0" fillId="0" borderId="58" xfId="0" applyFont="1" applyBorder="1" applyAlignment="1">
      <alignment horizontal="center"/>
    </xf>
    <xf numFmtId="0" fontId="0" fillId="0" borderId="38" xfId="0" applyFont="1" applyBorder="1" applyAlignment="1">
      <alignment horizontal="center"/>
    </xf>
    <xf numFmtId="0" fontId="0" fillId="0" borderId="37" xfId="0" applyFont="1" applyBorder="1" applyAlignment="1">
      <alignment horizontal="center"/>
    </xf>
    <xf numFmtId="0" fontId="56" fillId="0" borderId="0" xfId="0" applyFont="1" applyFill="1" applyBorder="1" applyAlignment="1">
      <alignment horizontal="left" vertical="center" wrapText="1"/>
    </xf>
    <xf numFmtId="0" fontId="0" fillId="0" borderId="0" xfId="0" applyFont="1" applyFill="1" applyBorder="1" applyAlignment="1">
      <alignment horizontal="center"/>
    </xf>
    <xf numFmtId="0" fontId="3" fillId="0" borderId="59" xfId="0" applyFont="1" applyBorder="1"/>
    <xf numFmtId="0" fontId="3" fillId="0" borderId="60" xfId="0" applyFont="1" applyBorder="1" applyAlignment="1">
      <alignment horizontal="center"/>
    </xf>
    <xf numFmtId="11" fontId="58" fillId="0" borderId="0" xfId="0" applyNumberFormat="1" applyFont="1" applyFill="1" applyBorder="1" applyAlignment="1">
      <alignment horizontal="center" vertical="center" wrapText="1"/>
    </xf>
    <xf numFmtId="0" fontId="58" fillId="0" borderId="0" xfId="0" applyFont="1" applyFill="1" applyBorder="1" applyAlignment="1">
      <alignment horizontal="left" vertical="top" wrapText="1"/>
    </xf>
    <xf numFmtId="174" fontId="0" fillId="0" borderId="0" xfId="0" applyNumberFormat="1" applyFont="1" applyBorder="1"/>
    <xf numFmtId="0" fontId="0" fillId="0" borderId="0" xfId="0" applyFont="1" applyBorder="1"/>
    <xf numFmtId="11" fontId="58" fillId="0" borderId="0" xfId="0" applyNumberFormat="1" applyFont="1" applyFill="1" applyBorder="1" applyAlignment="1">
      <alignment horizontal="center"/>
    </xf>
    <xf numFmtId="11" fontId="55" fillId="0" borderId="0" xfId="0" applyNumberFormat="1" applyFont="1" applyFill="1" applyBorder="1" applyAlignment="1">
      <alignment horizontal="center" vertical="top" wrapText="1"/>
    </xf>
    <xf numFmtId="174" fontId="0" fillId="0" borderId="8" xfId="0" applyNumberFormat="1" applyFont="1" applyBorder="1"/>
    <xf numFmtId="0" fontId="0" fillId="0" borderId="64" xfId="0" applyFont="1" applyBorder="1"/>
    <xf numFmtId="11" fontId="0" fillId="0" borderId="8" xfId="0" applyNumberFormat="1" applyFont="1" applyBorder="1"/>
    <xf numFmtId="0" fontId="0" fillId="0" borderId="8" xfId="0" applyFont="1" applyBorder="1"/>
    <xf numFmtId="0" fontId="0" fillId="0" borderId="64" xfId="0" applyFont="1" applyFill="1" applyBorder="1"/>
    <xf numFmtId="174" fontId="0" fillId="0" borderId="12" xfId="0" applyNumberFormat="1" applyFont="1" applyBorder="1"/>
    <xf numFmtId="0" fontId="0" fillId="0" borderId="42" xfId="0" applyFont="1" applyFill="1" applyBorder="1"/>
    <xf numFmtId="174" fontId="0" fillId="0" borderId="0" xfId="0" applyNumberFormat="1" applyFont="1" applyAlignment="1"/>
    <xf numFmtId="174" fontId="0" fillId="0" borderId="0" xfId="0" applyNumberFormat="1" applyFont="1"/>
    <xf numFmtId="11" fontId="0" fillId="0" borderId="0" xfId="0" applyNumberFormat="1" applyFont="1"/>
    <xf numFmtId="0" fontId="59" fillId="0" borderId="0" xfId="0" applyFont="1"/>
    <xf numFmtId="0" fontId="3" fillId="0" borderId="0" xfId="0" applyFont="1" applyAlignment="1">
      <alignment horizontal="center"/>
    </xf>
    <xf numFmtId="0" fontId="0" fillId="0" borderId="0" xfId="0" applyFont="1" applyAlignment="1">
      <alignment horizontal="center"/>
    </xf>
    <xf numFmtId="0" fontId="61" fillId="0" borderId="0" xfId="0" applyFont="1"/>
    <xf numFmtId="0" fontId="58" fillId="0" borderId="0" xfId="0" applyFont="1" applyFill="1" applyBorder="1" applyAlignment="1">
      <alignment horizontal="center" vertical="top" wrapText="1"/>
    </xf>
    <xf numFmtId="0" fontId="0" fillId="0" borderId="0" xfId="0" applyFill="1" applyAlignment="1">
      <alignment horizontal="center"/>
    </xf>
    <xf numFmtId="0" fontId="0" fillId="0" borderId="0" xfId="0" applyAlignment="1">
      <alignment horizontal="center"/>
    </xf>
    <xf numFmtId="0" fontId="0" fillId="0" borderId="0" xfId="0" applyFill="1"/>
    <xf numFmtId="0" fontId="3" fillId="0" borderId="0" xfId="0" applyFont="1" applyFill="1" applyAlignment="1">
      <alignment horizontal="center"/>
    </xf>
    <xf numFmtId="11" fontId="0" fillId="0" borderId="0" xfId="0" applyNumberFormat="1" applyFill="1" applyAlignment="1">
      <alignment horizontal="center"/>
    </xf>
    <xf numFmtId="0" fontId="3" fillId="0" borderId="0" xfId="0" applyFont="1" applyFill="1" applyBorder="1" applyAlignment="1">
      <alignment horizontal="left"/>
    </xf>
    <xf numFmtId="0" fontId="0" fillId="0" borderId="0" xfId="0" applyAlignment="1">
      <alignment wrapText="1"/>
    </xf>
    <xf numFmtId="11" fontId="0" fillId="0" borderId="0" xfId="0" applyNumberFormat="1"/>
    <xf numFmtId="11" fontId="0" fillId="0" borderId="0" xfId="0" applyNumberFormat="1" applyAlignment="1">
      <alignment horizontal="center"/>
    </xf>
    <xf numFmtId="175" fontId="0" fillId="0" borderId="0" xfId="0" applyNumberFormat="1" applyFill="1" applyAlignment="1">
      <alignment horizontal="center"/>
    </xf>
    <xf numFmtId="0" fontId="0" fillId="0" borderId="8" xfId="0" applyFill="1" applyBorder="1" applyAlignment="1">
      <alignment horizontal="left"/>
    </xf>
    <xf numFmtId="0" fontId="3" fillId="0" borderId="5" xfId="0" applyFont="1" applyFill="1" applyBorder="1" applyAlignment="1">
      <alignment horizontal="center"/>
    </xf>
    <xf numFmtId="0" fontId="3" fillId="0" borderId="28" xfId="0" applyFont="1" applyFill="1" applyBorder="1" applyAlignment="1">
      <alignment horizontal="center"/>
    </xf>
    <xf numFmtId="0" fontId="3" fillId="0" borderId="29" xfId="0" applyFont="1" applyFill="1" applyBorder="1" applyAlignment="1">
      <alignment horizontal="center"/>
    </xf>
    <xf numFmtId="0" fontId="20" fillId="0" borderId="8" xfId="0" applyFont="1" applyFill="1" applyBorder="1" applyAlignment="1">
      <alignment horizontal="center"/>
    </xf>
    <xf numFmtId="0" fontId="0" fillId="0" borderId="0" xfId="0" applyFill="1" applyBorder="1" applyAlignment="1">
      <alignment horizontal="center"/>
    </xf>
    <xf numFmtId="0" fontId="0" fillId="0" borderId="64" xfId="0" applyFill="1" applyBorder="1" applyAlignment="1">
      <alignment horizontal="center"/>
    </xf>
    <xf numFmtId="11" fontId="0" fillId="0" borderId="0" xfId="0" applyNumberFormat="1" applyFill="1" applyBorder="1" applyAlignment="1">
      <alignment horizontal="center"/>
    </xf>
    <xf numFmtId="0" fontId="3" fillId="0" borderId="8" xfId="0" applyFont="1" applyFill="1" applyBorder="1" applyAlignment="1">
      <alignment horizontal="center"/>
    </xf>
    <xf numFmtId="0" fontId="3" fillId="0" borderId="64" xfId="0" applyFont="1" applyFill="1" applyBorder="1" applyAlignment="1">
      <alignment horizontal="center"/>
    </xf>
    <xf numFmtId="0" fontId="0" fillId="0" borderId="12" xfId="0" applyFill="1" applyBorder="1" applyAlignment="1">
      <alignment horizontal="left"/>
    </xf>
    <xf numFmtId="11" fontId="0" fillId="0" borderId="13" xfId="0" applyNumberFormat="1" applyFill="1" applyBorder="1" applyAlignment="1">
      <alignment horizontal="center"/>
    </xf>
    <xf numFmtId="0" fontId="0" fillId="0" borderId="42" xfId="0" applyFill="1" applyBorder="1" applyAlignment="1">
      <alignment horizontal="center"/>
    </xf>
    <xf numFmtId="0" fontId="0" fillId="0" borderId="12" xfId="0" applyFill="1" applyBorder="1" applyAlignment="1"/>
    <xf numFmtId="0" fontId="0" fillId="0" borderId="13" xfId="0" applyFill="1" applyBorder="1" applyAlignment="1">
      <alignment horizontal="center"/>
    </xf>
    <xf numFmtId="0" fontId="0" fillId="0" borderId="0" xfId="0" applyFont="1" applyFill="1" applyAlignment="1">
      <alignment horizontal="center"/>
    </xf>
    <xf numFmtId="11" fontId="52" fillId="0" borderId="0" xfId="0" applyNumberFormat="1" applyFont="1" applyFill="1" applyBorder="1" applyAlignment="1">
      <alignment horizontal="center" vertical="top" wrapText="1"/>
    </xf>
    <xf numFmtId="0" fontId="52" fillId="0" borderId="0" xfId="0" applyFont="1" applyFill="1" applyBorder="1" applyAlignment="1">
      <alignment horizontal="center" vertical="top" wrapText="1"/>
    </xf>
    <xf numFmtId="11" fontId="0" fillId="0" borderId="0" xfId="0" applyNumberFormat="1" applyFont="1" applyFill="1" applyAlignment="1">
      <alignment horizontal="center"/>
    </xf>
    <xf numFmtId="0" fontId="0" fillId="0" borderId="0" xfId="0" applyFill="1" applyBorder="1"/>
    <xf numFmtId="0" fontId="0" fillId="0" borderId="3" xfId="0" applyFill="1" applyBorder="1" applyAlignment="1">
      <alignment horizontal="center"/>
    </xf>
    <xf numFmtId="0" fontId="0" fillId="0" borderId="3" xfId="0" applyFill="1" applyBorder="1"/>
    <xf numFmtId="0" fontId="0" fillId="0" borderId="4" xfId="0" applyFill="1" applyBorder="1" applyAlignment="1">
      <alignment horizontal="center"/>
    </xf>
    <xf numFmtId="0" fontId="0" fillId="0" borderId="28" xfId="0" applyBorder="1"/>
    <xf numFmtId="0" fontId="0" fillId="0" borderId="29" xfId="0" applyBorder="1"/>
    <xf numFmtId="0" fontId="0" fillId="0" borderId="64" xfId="0" applyFill="1" applyBorder="1"/>
    <xf numFmtId="0" fontId="63" fillId="0" borderId="5" xfId="0" applyFont="1" applyBorder="1"/>
    <xf numFmtId="0" fontId="63" fillId="0" borderId="2" xfId="0" applyFont="1" applyFill="1" applyBorder="1" applyAlignment="1">
      <alignment horizontal="left"/>
    </xf>
    <xf numFmtId="0" fontId="63" fillId="0" borderId="0" xfId="0" applyFont="1"/>
    <xf numFmtId="9" fontId="0" fillId="0" borderId="0" xfId="0" applyNumberFormat="1" applyAlignment="1">
      <alignment horizontal="center"/>
    </xf>
    <xf numFmtId="0" fontId="0" fillId="0" borderId="0" xfId="0" applyFont="1" applyBorder="1" applyAlignment="1">
      <alignment horizontal="center"/>
    </xf>
    <xf numFmtId="11" fontId="0" fillId="0" borderId="0" xfId="0" applyNumberFormat="1" applyFont="1" applyAlignment="1">
      <alignment horizontal="center"/>
    </xf>
    <xf numFmtId="9" fontId="0" fillId="0" borderId="0" xfId="0" applyNumberFormat="1" applyFont="1" applyAlignment="1">
      <alignment horizontal="center"/>
    </xf>
    <xf numFmtId="0" fontId="61" fillId="0" borderId="0" xfId="0" applyFont="1" applyFill="1" applyAlignment="1">
      <alignment horizontal="center"/>
    </xf>
    <xf numFmtId="10" fontId="0" fillId="0" borderId="0" xfId="0" applyNumberFormat="1" applyFont="1" applyAlignment="1">
      <alignment horizontal="center"/>
    </xf>
    <xf numFmtId="0" fontId="63" fillId="6" borderId="5" xfId="0" applyFont="1" applyFill="1" applyBorder="1"/>
    <xf numFmtId="0" fontId="0" fillId="6" borderId="28" xfId="0" applyFill="1" applyBorder="1"/>
    <xf numFmtId="0" fontId="0" fillId="6" borderId="29" xfId="0" applyFill="1" applyBorder="1"/>
    <xf numFmtId="0" fontId="55" fillId="6" borderId="8" xfId="0" applyFont="1" applyFill="1" applyBorder="1" applyAlignment="1">
      <alignment horizontal="left" vertical="top" wrapText="1"/>
    </xf>
    <xf numFmtId="0" fontId="55" fillId="6" borderId="0" xfId="0" applyFont="1" applyFill="1" applyBorder="1" applyAlignment="1">
      <alignment horizontal="center" vertical="top" wrapText="1"/>
    </xf>
    <xf numFmtId="0" fontId="3" fillId="6" borderId="64" xfId="0" applyFont="1" applyFill="1" applyBorder="1" applyAlignment="1">
      <alignment horizontal="center"/>
    </xf>
    <xf numFmtId="0" fontId="56" fillId="6" borderId="8" xfId="0" applyFont="1" applyFill="1" applyBorder="1" applyAlignment="1">
      <alignment horizontal="left" vertical="center" wrapText="1"/>
    </xf>
    <xf numFmtId="0" fontId="0" fillId="6" borderId="0" xfId="0" applyFont="1" applyFill="1" applyBorder="1" applyAlignment="1">
      <alignment horizontal="center"/>
    </xf>
    <xf numFmtId="0" fontId="0" fillId="6" borderId="0" xfId="0" applyFill="1" applyBorder="1" applyAlignment="1">
      <alignment horizontal="center"/>
    </xf>
    <xf numFmtId="0" fontId="0" fillId="6" borderId="64" xfId="0" applyFill="1" applyBorder="1" applyAlignment="1">
      <alignment horizontal="center"/>
    </xf>
    <xf numFmtId="0" fontId="0" fillId="6" borderId="8" xfId="0" applyFont="1" applyFill="1" applyBorder="1"/>
    <xf numFmtId="11" fontId="58" fillId="6" borderId="0" xfId="0" applyNumberFormat="1" applyFont="1" applyFill="1" applyBorder="1" applyAlignment="1">
      <alignment horizontal="center" vertical="center" wrapText="1"/>
    </xf>
    <xf numFmtId="11" fontId="0" fillId="6" borderId="0" xfId="0" applyNumberFormat="1" applyFill="1" applyBorder="1" applyAlignment="1">
      <alignment horizontal="center"/>
    </xf>
    <xf numFmtId="0" fontId="0" fillId="6" borderId="8" xfId="0" applyFill="1" applyBorder="1"/>
    <xf numFmtId="0" fontId="0" fillId="6" borderId="13" xfId="0" applyFill="1" applyBorder="1" applyAlignment="1">
      <alignment horizontal="center"/>
    </xf>
    <xf numFmtId="0" fontId="55" fillId="6" borderId="8" xfId="0" applyFont="1" applyFill="1" applyBorder="1" applyAlignment="1">
      <alignment horizontal="center" vertical="top" wrapText="1"/>
    </xf>
    <xf numFmtId="0" fontId="0" fillId="6" borderId="64" xfId="0" applyFont="1" applyFill="1" applyBorder="1" applyAlignment="1">
      <alignment horizontal="center"/>
    </xf>
    <xf numFmtId="0" fontId="0" fillId="6" borderId="12" xfId="0" applyFont="1" applyFill="1" applyBorder="1"/>
    <xf numFmtId="11" fontId="52" fillId="6" borderId="13" xfId="0" applyNumberFormat="1" applyFont="1" applyFill="1" applyBorder="1" applyAlignment="1">
      <alignment horizontal="center" vertical="top" wrapText="1"/>
    </xf>
    <xf numFmtId="0" fontId="55" fillId="6" borderId="0" xfId="0" applyFont="1" applyFill="1" applyBorder="1" applyAlignment="1">
      <alignment horizontal="left" vertical="top" wrapText="1"/>
    </xf>
    <xf numFmtId="0" fontId="0" fillId="6" borderId="0" xfId="0" applyFont="1" applyFill="1" applyBorder="1"/>
    <xf numFmtId="11" fontId="52" fillId="6" borderId="0" xfId="0" applyNumberFormat="1" applyFont="1" applyFill="1" applyBorder="1" applyAlignment="1">
      <alignment horizontal="center" vertical="top" wrapText="1"/>
    </xf>
    <xf numFmtId="0" fontId="52" fillId="6" borderId="0" xfId="0" applyFont="1" applyFill="1" applyBorder="1" applyAlignment="1">
      <alignment horizontal="center" vertical="top" wrapText="1"/>
    </xf>
    <xf numFmtId="9" fontId="0" fillId="6" borderId="0" xfId="0" applyNumberFormat="1" applyFill="1" applyBorder="1" applyAlignment="1">
      <alignment horizontal="center"/>
    </xf>
    <xf numFmtId="0" fontId="0" fillId="6" borderId="28" xfId="0" applyFont="1" applyFill="1" applyBorder="1"/>
    <xf numFmtId="0" fontId="0" fillId="6" borderId="29" xfId="0" applyFont="1" applyFill="1" applyBorder="1"/>
    <xf numFmtId="0" fontId="3" fillId="6" borderId="0" xfId="0" applyFont="1" applyFill="1" applyBorder="1" applyAlignment="1">
      <alignment horizontal="center"/>
    </xf>
    <xf numFmtId="0" fontId="0" fillId="6" borderId="64" xfId="0" applyFont="1" applyFill="1" applyBorder="1"/>
    <xf numFmtId="9" fontId="0" fillId="6" borderId="0" xfId="0" applyNumberFormat="1" applyFont="1" applyFill="1" applyBorder="1" applyAlignment="1">
      <alignment horizontal="center"/>
    </xf>
    <xf numFmtId="11" fontId="0" fillId="6" borderId="0" xfId="0" applyNumberFormat="1" applyFont="1" applyFill="1" applyBorder="1" applyAlignment="1">
      <alignment horizontal="center"/>
    </xf>
    <xf numFmtId="0" fontId="0" fillId="6" borderId="13" xfId="0" applyFont="1" applyFill="1" applyBorder="1"/>
    <xf numFmtId="0" fontId="0" fillId="6" borderId="0" xfId="0" applyFill="1" applyBorder="1"/>
    <xf numFmtId="0" fontId="0" fillId="6" borderId="64" xfId="0" applyFill="1" applyBorder="1"/>
    <xf numFmtId="175" fontId="0" fillId="6" borderId="0" xfId="0" applyNumberFormat="1" applyFill="1" applyBorder="1" applyAlignment="1">
      <alignment horizontal="center"/>
    </xf>
    <xf numFmtId="11" fontId="0" fillId="6" borderId="0" xfId="0" applyNumberFormat="1" applyFill="1" applyBorder="1"/>
    <xf numFmtId="11" fontId="0" fillId="6" borderId="13" xfId="0" applyNumberFormat="1" applyFont="1" applyFill="1" applyBorder="1" applyAlignment="1">
      <alignment horizontal="center"/>
    </xf>
    <xf numFmtId="0" fontId="0" fillId="6" borderId="42" xfId="0" applyFont="1" applyFill="1" applyBorder="1" applyAlignment="1">
      <alignment horizontal="center"/>
    </xf>
    <xf numFmtId="0" fontId="58" fillId="6" borderId="0" xfId="0" applyFont="1" applyFill="1" applyBorder="1" applyAlignment="1">
      <alignment horizontal="left" vertical="top" wrapText="1"/>
    </xf>
    <xf numFmtId="0" fontId="0" fillId="6" borderId="8" xfId="0" applyFill="1" applyBorder="1" applyAlignment="1">
      <alignment horizontal="left"/>
    </xf>
    <xf numFmtId="0" fontId="6" fillId="5" borderId="16" xfId="2" applyFont="1" applyFill="1" applyBorder="1" applyAlignment="1">
      <alignment horizontal="center"/>
    </xf>
    <xf numFmtId="11" fontId="4" fillId="5" borderId="16" xfId="2" applyNumberFormat="1" applyFont="1" applyFill="1" applyBorder="1" applyAlignment="1">
      <alignment horizontal="center"/>
    </xf>
    <xf numFmtId="11" fontId="4" fillId="0" borderId="0" xfId="2" applyNumberFormat="1" applyFont="1" applyAlignment="1">
      <alignment horizontal="center"/>
    </xf>
    <xf numFmtId="11" fontId="15" fillId="0" borderId="16" xfId="0" applyNumberFormat="1" applyFont="1" applyFill="1" applyBorder="1" applyAlignment="1">
      <alignment horizontal="center"/>
    </xf>
    <xf numFmtId="11" fontId="4" fillId="0" borderId="16" xfId="2" applyNumberFormat="1" applyBorder="1" applyAlignment="1">
      <alignment horizontal="center"/>
    </xf>
    <xf numFmtId="11" fontId="15" fillId="0" borderId="16" xfId="0" applyNumberFormat="1" applyFont="1" applyBorder="1" applyProtection="1">
      <protection locked="0"/>
    </xf>
    <xf numFmtId="0" fontId="4" fillId="5" borderId="16" xfId="2" applyFont="1" applyFill="1" applyBorder="1" applyAlignment="1">
      <alignment horizontal="center"/>
    </xf>
    <xf numFmtId="0" fontId="4" fillId="0" borderId="16" xfId="2" applyFont="1" applyBorder="1" applyAlignment="1" applyProtection="1">
      <alignment horizontal="left"/>
      <protection locked="0"/>
    </xf>
    <xf numFmtId="0" fontId="4" fillId="0" borderId="16" xfId="2" applyFont="1" applyBorder="1" applyAlignment="1">
      <alignment horizontal="center"/>
    </xf>
    <xf numFmtId="11" fontId="15" fillId="0" borderId="16" xfId="0" applyNumberFormat="1" applyFont="1" applyFill="1" applyBorder="1" applyAlignment="1" applyProtection="1">
      <alignment horizontal="center"/>
      <protection locked="0"/>
    </xf>
    <xf numFmtId="11" fontId="15" fillId="0" borderId="16" xfId="0" applyNumberFormat="1" applyFont="1" applyBorder="1" applyAlignment="1" applyProtection="1">
      <alignment horizontal="center"/>
      <protection locked="0"/>
    </xf>
    <xf numFmtId="0" fontId="4" fillId="0" borderId="0" xfId="2" applyFont="1" applyFill="1" applyAlignment="1" applyProtection="1">
      <alignment horizontal="center" vertical="top" wrapText="1"/>
      <protection locked="0"/>
    </xf>
    <xf numFmtId="0" fontId="4" fillId="13" borderId="0" xfId="2" applyFont="1" applyFill="1" applyAlignment="1" applyProtection="1">
      <alignment horizontal="center" vertical="top" wrapText="1"/>
      <protection locked="0"/>
    </xf>
    <xf numFmtId="49" fontId="4" fillId="0" borderId="0" xfId="2" applyNumberFormat="1" applyFont="1" applyFill="1" applyAlignment="1" applyProtection="1">
      <alignment horizontal="center" vertical="top" wrapText="1"/>
      <protection locked="0"/>
    </xf>
    <xf numFmtId="49" fontId="4" fillId="13" borderId="0" xfId="2" applyNumberFormat="1" applyFont="1" applyFill="1" applyAlignment="1" applyProtection="1">
      <alignment horizontal="center" vertical="top" wrapText="1"/>
      <protection locked="0"/>
    </xf>
    <xf numFmtId="0" fontId="15" fillId="0" borderId="0" xfId="0" applyFont="1" applyAlignment="1">
      <alignment horizontal="center" vertical="top"/>
    </xf>
    <xf numFmtId="49" fontId="15" fillId="0" borderId="0" xfId="0" applyNumberFormat="1" applyFont="1" applyAlignment="1">
      <alignment horizontal="center" vertical="top" wrapText="1"/>
    </xf>
    <xf numFmtId="0" fontId="4" fillId="0" borderId="0" xfId="2" applyFill="1" applyAlignment="1" applyProtection="1">
      <alignment horizontal="center" vertical="top" wrapText="1"/>
      <protection locked="0"/>
    </xf>
    <xf numFmtId="0" fontId="4" fillId="13" borderId="0" xfId="2" applyFill="1" applyAlignment="1" applyProtection="1">
      <alignment horizontal="center" vertical="top" wrapText="1"/>
      <protection locked="0"/>
    </xf>
    <xf numFmtId="49" fontId="4" fillId="0" borderId="0" xfId="2" applyNumberFormat="1" applyFill="1" applyAlignment="1" applyProtection="1">
      <alignment horizontal="center" vertical="top" wrapText="1"/>
      <protection locked="0"/>
    </xf>
    <xf numFmtId="0" fontId="4" fillId="13" borderId="0" xfId="3" applyFont="1" applyFill="1" applyAlignment="1" applyProtection="1">
      <alignment horizontal="center" vertical="top" wrapText="1"/>
      <protection locked="0"/>
    </xf>
    <xf numFmtId="49" fontId="4" fillId="13" borderId="0" xfId="2" applyNumberFormat="1" applyFill="1" applyAlignment="1" applyProtection="1">
      <alignment horizontal="center" vertical="top" wrapText="1"/>
      <protection locked="0"/>
    </xf>
    <xf numFmtId="49" fontId="4" fillId="0" borderId="0" xfId="2" applyNumberFormat="1" applyFont="1" applyAlignment="1">
      <alignment horizontal="center" vertical="top" wrapText="1"/>
    </xf>
    <xf numFmtId="0" fontId="15" fillId="0" borderId="0" xfId="0" applyFont="1" applyFill="1" applyAlignment="1" applyProtection="1">
      <alignment horizontal="center" vertical="top" wrapText="1"/>
      <protection locked="0"/>
    </xf>
    <xf numFmtId="0" fontId="15" fillId="13" borderId="0" xfId="0" applyFont="1" applyFill="1" applyAlignment="1" applyProtection="1">
      <alignment horizontal="center" vertical="top" wrapText="1"/>
      <protection locked="0"/>
    </xf>
    <xf numFmtId="49" fontId="15" fillId="0" borderId="0" xfId="0" applyNumberFormat="1" applyFont="1" applyFill="1" applyAlignment="1" applyProtection="1">
      <alignment horizontal="center" vertical="top" wrapText="1"/>
      <protection locked="0"/>
    </xf>
    <xf numFmtId="49" fontId="15" fillId="13" borderId="0" xfId="0" applyNumberFormat="1" applyFont="1" applyFill="1" applyAlignment="1" applyProtection="1">
      <alignment horizontal="center" vertical="top" wrapText="1"/>
      <protection locked="0"/>
    </xf>
    <xf numFmtId="49" fontId="4" fillId="0" borderId="0" xfId="0" applyNumberFormat="1" applyFont="1" applyFill="1" applyAlignment="1" applyProtection="1">
      <alignment horizontal="center" vertical="top" wrapText="1"/>
      <protection locked="0"/>
    </xf>
    <xf numFmtId="0" fontId="4" fillId="13" borderId="0" xfId="0" applyFont="1" applyFill="1" applyAlignment="1" applyProtection="1">
      <alignment horizontal="center" vertical="top" wrapText="1"/>
      <protection locked="0"/>
    </xf>
    <xf numFmtId="0" fontId="24" fillId="0" borderId="0" xfId="3" applyAlignment="1" applyProtection="1">
      <alignment horizontal="center" vertical="top"/>
    </xf>
    <xf numFmtId="0" fontId="24" fillId="0" borderId="0" xfId="3" applyAlignment="1" applyProtection="1">
      <alignment horizontal="center" vertical="top" wrapText="1"/>
    </xf>
    <xf numFmtId="0" fontId="24" fillId="0" borderId="0" xfId="3" applyFill="1" applyAlignment="1" applyProtection="1">
      <alignment horizontal="center" vertical="top" wrapText="1"/>
      <protection locked="0"/>
    </xf>
    <xf numFmtId="9" fontId="0" fillId="0" borderId="0" xfId="0" applyNumberFormat="1" applyFont="1" applyFill="1" applyAlignment="1">
      <alignment horizontal="center"/>
    </xf>
    <xf numFmtId="0" fontId="0" fillId="0" borderId="0" xfId="0" applyNumberFormat="1" applyFont="1" applyFill="1" applyAlignment="1">
      <alignment horizontal="center"/>
    </xf>
    <xf numFmtId="0" fontId="58" fillId="6" borderId="0" xfId="0" applyFont="1" applyFill="1" applyBorder="1" applyAlignment="1">
      <alignment horizontal="center" vertical="top" wrapText="1"/>
    </xf>
    <xf numFmtId="0" fontId="61" fillId="6" borderId="0" xfId="0" applyFont="1" applyFill="1" applyBorder="1" applyAlignment="1">
      <alignment horizontal="center"/>
    </xf>
    <xf numFmtId="0" fontId="52" fillId="6" borderId="13" xfId="0" applyFont="1" applyFill="1" applyBorder="1" applyAlignment="1">
      <alignment horizontal="center" vertical="top" wrapText="1"/>
    </xf>
    <xf numFmtId="0" fontId="4" fillId="6" borderId="0" xfId="2" applyFont="1" applyFill="1" applyBorder="1" applyAlignment="1">
      <alignment horizontal="center"/>
    </xf>
    <xf numFmtId="0" fontId="0" fillId="6" borderId="13" xfId="0" applyFont="1" applyFill="1" applyBorder="1" applyAlignment="1">
      <alignment horizontal="center"/>
    </xf>
    <xf numFmtId="0" fontId="0" fillId="6" borderId="42" xfId="0" applyFill="1" applyBorder="1"/>
    <xf numFmtId="0" fontId="3" fillId="6" borderId="28" xfId="0" applyFont="1" applyFill="1" applyBorder="1" applyAlignment="1">
      <alignment horizontal="center"/>
    </xf>
    <xf numFmtId="0" fontId="3" fillId="6" borderId="29" xfId="0" applyFont="1" applyFill="1" applyBorder="1" applyAlignment="1">
      <alignment horizontal="center"/>
    </xf>
    <xf numFmtId="0" fontId="0" fillId="6" borderId="0" xfId="0" applyFill="1" applyAlignment="1">
      <alignment horizontal="center"/>
    </xf>
    <xf numFmtId="0" fontId="0" fillId="6" borderId="28" xfId="0" applyFill="1" applyBorder="1" applyAlignment="1">
      <alignment horizontal="center"/>
    </xf>
    <xf numFmtId="0" fontId="0" fillId="6" borderId="29" xfId="0" applyFill="1" applyBorder="1" applyAlignment="1">
      <alignment horizontal="center"/>
    </xf>
    <xf numFmtId="11" fontId="0" fillId="6" borderId="64" xfId="0" applyNumberFormat="1" applyFill="1" applyBorder="1"/>
    <xf numFmtId="0" fontId="52" fillId="0" borderId="0" xfId="0" applyFont="1" applyFill="1" applyBorder="1" applyAlignment="1">
      <alignment horizontal="left" vertical="top" wrapText="1"/>
    </xf>
    <xf numFmtId="0" fontId="4" fillId="0" borderId="16" xfId="0" applyFont="1" applyBorder="1" applyAlignment="1">
      <alignment horizontal="left" vertical="top"/>
    </xf>
    <xf numFmtId="11" fontId="15" fillId="10" borderId="16" xfId="0" applyNumberFormat="1" applyFont="1" applyFill="1" applyBorder="1" applyAlignment="1" applyProtection="1">
      <alignment vertical="top"/>
      <protection hidden="1"/>
    </xf>
    <xf numFmtId="0" fontId="15" fillId="0" borderId="16" xfId="0" applyFont="1" applyBorder="1" applyAlignment="1" applyProtection="1">
      <alignment horizontal="left"/>
      <protection locked="0"/>
    </xf>
    <xf numFmtId="0" fontId="4" fillId="0" borderId="16" xfId="2" applyFill="1" applyBorder="1" applyAlignment="1" applyProtection="1">
      <alignment horizontal="left" vertical="top" wrapText="1"/>
      <protection locked="0"/>
    </xf>
    <xf numFmtId="0" fontId="4" fillId="0" borderId="16" xfId="2" applyBorder="1" applyAlignment="1" applyProtection="1">
      <alignment horizontal="left" vertical="top" wrapText="1"/>
      <protection locked="0"/>
    </xf>
    <xf numFmtId="0" fontId="0" fillId="0" borderId="8" xfId="0" applyFont="1" applyFill="1" applyBorder="1"/>
    <xf numFmtId="0" fontId="0" fillId="0" borderId="0" xfId="0" applyNumberFormat="1" applyFont="1" applyFill="1" applyBorder="1" applyAlignment="1">
      <alignment horizontal="center"/>
    </xf>
    <xf numFmtId="9" fontId="0" fillId="0" borderId="0" xfId="0" applyNumberFormat="1" applyFont="1" applyFill="1" applyBorder="1" applyAlignment="1">
      <alignment horizontal="center"/>
    </xf>
    <xf numFmtId="0" fontId="0" fillId="0" borderId="12" xfId="0" applyFont="1" applyFill="1" applyBorder="1"/>
    <xf numFmtId="11" fontId="52" fillId="0" borderId="13" xfId="0" applyNumberFormat="1" applyFont="1" applyFill="1" applyBorder="1" applyAlignment="1">
      <alignment horizontal="center" vertical="top" wrapText="1"/>
    </xf>
    <xf numFmtId="0" fontId="52" fillId="0" borderId="13" xfId="0" applyFont="1" applyFill="1" applyBorder="1" applyAlignment="1">
      <alignment horizontal="center" vertical="top" wrapText="1"/>
    </xf>
    <xf numFmtId="0" fontId="0" fillId="0" borderId="42" xfId="0" applyFill="1" applyBorder="1"/>
    <xf numFmtId="0" fontId="56" fillId="0" borderId="8" xfId="0" applyFont="1" applyFill="1" applyBorder="1" applyAlignment="1">
      <alignment horizontal="left" vertical="center" wrapText="1"/>
    </xf>
    <xf numFmtId="0" fontId="3" fillId="0" borderId="8" xfId="0" applyFont="1" applyFill="1" applyBorder="1"/>
    <xf numFmtId="0" fontId="0" fillId="6" borderId="0" xfId="0" applyFill="1"/>
    <xf numFmtId="11" fontId="0" fillId="6" borderId="0" xfId="0" applyNumberFormat="1" applyFill="1" applyAlignment="1">
      <alignment horizontal="center"/>
    </xf>
    <xf numFmtId="0" fontId="0" fillId="0" borderId="8" xfId="0" applyFill="1" applyBorder="1"/>
    <xf numFmtId="0" fontId="0" fillId="0" borderId="12" xfId="0" applyFill="1" applyBorder="1"/>
    <xf numFmtId="0" fontId="58" fillId="0" borderId="13" xfId="0" applyFont="1" applyFill="1" applyBorder="1" applyAlignment="1">
      <alignment horizontal="center" vertical="top" wrapText="1"/>
    </xf>
    <xf numFmtId="11" fontId="0" fillId="0" borderId="0" xfId="0" applyNumberFormat="1" applyFill="1" applyBorder="1"/>
    <xf numFmtId="11" fontId="0" fillId="0" borderId="64" xfId="0" applyNumberFormat="1" applyFill="1" applyBorder="1"/>
    <xf numFmtId="175" fontId="0" fillId="6" borderId="0" xfId="0" applyNumberFormat="1" applyFill="1" applyAlignment="1">
      <alignment horizontal="center"/>
    </xf>
    <xf numFmtId="11" fontId="58" fillId="6" borderId="0" xfId="0" applyNumberFormat="1" applyFont="1" applyFill="1" applyBorder="1" applyAlignment="1">
      <alignment horizontal="center"/>
    </xf>
    <xf numFmtId="0" fontId="0" fillId="0" borderId="13" xfId="0" applyFill="1" applyBorder="1"/>
    <xf numFmtId="0" fontId="0" fillId="6" borderId="0" xfId="0" applyFill="1" applyBorder="1" applyAlignment="1">
      <alignment horizontal="left"/>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5" borderId="1" xfId="2" applyFont="1" applyFill="1" applyBorder="1" applyAlignment="1">
      <alignment horizontal="left"/>
    </xf>
    <xf numFmtId="0" fontId="4" fillId="5" borderId="10" xfId="2" applyFont="1" applyFill="1" applyBorder="1" applyAlignment="1">
      <alignment horizontal="left"/>
    </xf>
    <xf numFmtId="0" fontId="4" fillId="5" borderId="17" xfId="2" applyFont="1" applyFill="1" applyBorder="1" applyAlignment="1">
      <alignment horizontal="left"/>
    </xf>
    <xf numFmtId="0" fontId="4" fillId="9" borderId="16" xfId="2"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0" fillId="0" borderId="10" xfId="0" applyBorder="1" applyAlignment="1">
      <alignment horizontal="left"/>
    </xf>
    <xf numFmtId="0" fontId="0" fillId="0" borderId="17" xfId="0" applyBorder="1" applyAlignment="1">
      <alignment horizontal="left"/>
    </xf>
    <xf numFmtId="0" fontId="6" fillId="3" borderId="16" xfId="2" applyFont="1" applyFill="1" applyBorder="1" applyAlignment="1">
      <alignment horizontal="center"/>
    </xf>
    <xf numFmtId="0" fontId="20"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0" fillId="0" borderId="35" xfId="0" applyFont="1" applyFill="1" applyBorder="1" applyAlignment="1">
      <alignment horizont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7" fillId="0" borderId="2" xfId="2" applyFont="1" applyBorder="1" applyAlignment="1">
      <alignment wrapText="1"/>
    </xf>
    <xf numFmtId="0" fontId="27" fillId="0" borderId="4" xfId="2" applyFont="1" applyBorder="1" applyAlignment="1">
      <alignment wrapText="1"/>
    </xf>
    <xf numFmtId="0" fontId="27" fillId="0" borderId="3" xfId="2" applyFont="1" applyBorder="1" applyAlignment="1">
      <alignment wrapText="1"/>
    </xf>
    <xf numFmtId="0" fontId="28" fillId="0" borderId="2" xfId="2" applyFont="1" applyBorder="1" applyAlignment="1">
      <alignment wrapText="1"/>
    </xf>
    <xf numFmtId="0" fontId="28" fillId="0" borderId="4" xfId="2" applyFont="1" applyBorder="1" applyAlignment="1">
      <alignment wrapText="1"/>
    </xf>
    <xf numFmtId="0" fontId="28" fillId="0" borderId="2" xfId="2" applyFont="1" applyBorder="1"/>
    <xf numFmtId="0" fontId="28"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3" fillId="0" borderId="57" xfId="0" applyFont="1" applyBorder="1" applyAlignment="1">
      <alignment horizontal="center" vertical="center"/>
    </xf>
    <xf numFmtId="0" fontId="0" fillId="0" borderId="16" xfId="0" applyBorder="1" applyAlignment="1">
      <alignment vertical="center"/>
    </xf>
    <xf numFmtId="0" fontId="3" fillId="0" borderId="27" xfId="0" applyFont="1" applyBorder="1" applyAlignment="1">
      <alignment horizontal="center" vertical="center"/>
    </xf>
    <xf numFmtId="0" fontId="0" fillId="0" borderId="32" xfId="0" applyBorder="1" applyAlignment="1">
      <alignment vertical="center"/>
    </xf>
    <xf numFmtId="0" fontId="3" fillId="0" borderId="61" xfId="0" applyFont="1" applyBorder="1" applyAlignment="1">
      <alignment horizontal="center"/>
    </xf>
    <xf numFmtId="0" fontId="0" fillId="0" borderId="6" xfId="0" applyFont="1" applyBorder="1" applyAlignment="1">
      <alignment horizontal="center"/>
    </xf>
    <xf numFmtId="0" fontId="0" fillId="0" borderId="6" xfId="0" applyBorder="1" applyAlignment="1"/>
    <xf numFmtId="0" fontId="0" fillId="0" borderId="7" xfId="0" applyBorder="1" applyAlignment="1"/>
    <xf numFmtId="0" fontId="3" fillId="0" borderId="62" xfId="0" applyFont="1" applyBorder="1" applyAlignment="1">
      <alignment horizontal="center"/>
    </xf>
    <xf numFmtId="0" fontId="3" fillId="0" borderId="63" xfId="0" applyFont="1" applyBorder="1" applyAlignment="1">
      <alignment horizontal="center"/>
    </xf>
    <xf numFmtId="0" fontId="11" fillId="0" borderId="0" xfId="2" applyFont="1" applyAlignment="1">
      <alignment horizontal="center"/>
    </xf>
    <xf numFmtId="0" fontId="6" fillId="0" borderId="9" xfId="2" applyFont="1" applyBorder="1" applyAlignment="1">
      <alignment horizontal="center"/>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Hyperlink 3" xfId="98"/>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37</xdr:row>
      <xdr:rowOff>38100</xdr:rowOff>
    </xdr:from>
    <xdr:to>
      <xdr:col>13</xdr:col>
      <xdr:colOff>0</xdr:colOff>
      <xdr:row>51</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3</xdr:col>
          <xdr:colOff>4105275</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118950</xdr:rowOff>
    </xdr:from>
    <xdr:to>
      <xdr:col>11</xdr:col>
      <xdr:colOff>510785</xdr:colOff>
      <xdr:row>23</xdr:row>
      <xdr:rowOff>64618</xdr:rowOff>
    </xdr:to>
    <xdr:grpSp>
      <xdr:nvGrpSpPr>
        <xdr:cNvPr id="54" name="Group 53"/>
        <xdr:cNvGrpSpPr/>
      </xdr:nvGrpSpPr>
      <xdr:grpSpPr>
        <a:xfrm>
          <a:off x="0" y="118950"/>
          <a:ext cx="7216385" cy="4327168"/>
          <a:chOff x="0" y="118950"/>
          <a:chExt cx="7200266" cy="4327168"/>
        </a:xfrm>
      </xdr:grpSpPr>
      <xdr:cxnSp macro="">
        <xdr:nvCxnSpPr>
          <xdr:cNvPr id="50" name="Straight Arrow Connector 13"/>
          <xdr:cNvCxnSpPr>
            <a:stCxn id="49" idx="2"/>
            <a:endCxn id="48" idx="1"/>
          </xdr:cNvCxnSpPr>
        </xdr:nvCxnSpPr>
        <xdr:spPr>
          <a:xfrm flipV="1">
            <a:off x="1394770" y="3012831"/>
            <a:ext cx="2153903" cy="543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2" name="Legend"/>
          <xdr:cNvGrpSpPr/>
        </xdr:nvGrpSpPr>
        <xdr:grpSpPr>
          <a:xfrm>
            <a:off x="388327" y="3660531"/>
            <a:ext cx="194135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07742" y="3352800"/>
            <a:ext cx="229172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NdFeB plated magnet [Intermediate product]</a:t>
            </a:r>
            <a:endParaRPr lang="en-US" sz="8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50878"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xdr:cNvSpPr/>
        </xdr:nvSpPr>
        <xdr:spPr>
          <a:xfrm>
            <a:off x="0" y="118950"/>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Iron [Intermediate]</a:t>
            </a:r>
          </a:p>
        </xdr:txBody>
      </xdr:sp>
      <xdr:cxnSp macro="">
        <xdr:nvCxnSpPr>
          <xdr:cNvPr id="14" name="Straight Arrow Connector 1"/>
          <xdr:cNvCxnSpPr>
            <a:stCxn id="13" idx="2"/>
            <a:endCxn id="12" idx="1"/>
          </xdr:cNvCxnSpPr>
        </xdr:nvCxnSpPr>
        <xdr:spPr>
          <a:xfrm flipV="1">
            <a:off x="1394770" y="413121"/>
            <a:ext cx="2153903" cy="543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xdr:cNvSpPr/>
        </xdr:nvSpPr>
        <xdr:spPr>
          <a:xfrm>
            <a:off x="1775069" y="335593"/>
            <a:ext cx="157372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Boron carbide [Intermediate]</a:t>
            </a:r>
          </a:p>
        </xdr:txBody>
      </xdr:sp>
      <xdr:cxnSp macro="">
        <xdr:nvCxnSpPr>
          <xdr:cNvPr id="17" name="Straight Arrow Connector 2"/>
          <xdr:cNvCxnSpPr>
            <a:stCxn id="16" idx="2"/>
            <a:endCxn id="15" idx="1"/>
          </xdr:cNvCxnSpPr>
        </xdr:nvCxnSpPr>
        <xdr:spPr>
          <a:xfrm flipV="1">
            <a:off x="3168374" y="629764"/>
            <a:ext cx="380299" cy="543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9" name="Upstream Emssion Data 3"/>
          <xdr:cNvSpPr/>
        </xdr:nvSpPr>
        <xdr:spPr>
          <a:xfrm>
            <a:off x="0" y="552235"/>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Neodymium [Intermediate]</a:t>
            </a:r>
          </a:p>
        </xdr:txBody>
      </xdr:sp>
      <xdr:cxnSp macro="">
        <xdr:nvCxnSpPr>
          <xdr:cNvPr id="20" name="Straight Arrow Connector 3"/>
          <xdr:cNvCxnSpPr>
            <a:stCxn id="19" idx="2"/>
            <a:endCxn id="18" idx="1"/>
          </xdr:cNvCxnSpPr>
        </xdr:nvCxnSpPr>
        <xdr:spPr>
          <a:xfrm flipV="1">
            <a:off x="1394770" y="846406"/>
            <a:ext cx="2153903" cy="543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2" name="Upstream Emssion Data 4"/>
          <xdr:cNvSpPr/>
        </xdr:nvSpPr>
        <xdr:spPr>
          <a:xfrm>
            <a:off x="1775069" y="768878"/>
            <a:ext cx="157372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Hydrogen gas [Intermediate]</a:t>
            </a:r>
          </a:p>
        </xdr:txBody>
      </xdr:sp>
      <xdr:cxnSp macro="">
        <xdr:nvCxnSpPr>
          <xdr:cNvPr id="23" name="Straight Arrow Connector 4"/>
          <xdr:cNvCxnSpPr>
            <a:stCxn id="22" idx="2"/>
            <a:endCxn id="21" idx="1"/>
          </xdr:cNvCxnSpPr>
        </xdr:nvCxnSpPr>
        <xdr:spPr>
          <a:xfrm flipV="1">
            <a:off x="3168374" y="1063049"/>
            <a:ext cx="380299" cy="543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Upstream Emssion Data 5"/>
          <xdr:cNvSpPr/>
        </xdr:nvSpPr>
        <xdr:spPr>
          <a:xfrm>
            <a:off x="0" y="985520"/>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Sodium carbonate [Intermediate]</a:t>
            </a:r>
          </a:p>
        </xdr:txBody>
      </xdr:sp>
      <xdr:cxnSp macro="">
        <xdr:nvCxnSpPr>
          <xdr:cNvPr id="26" name="Straight Arrow Connector 5"/>
          <xdr:cNvCxnSpPr>
            <a:stCxn id="25" idx="2"/>
            <a:endCxn id="24" idx="1"/>
          </xdr:cNvCxnSpPr>
        </xdr:nvCxnSpPr>
        <xdr:spPr>
          <a:xfrm flipV="1">
            <a:off x="1394770" y="1279691"/>
            <a:ext cx="2153903" cy="543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8" name="Upstream Emssion Data 6"/>
          <xdr:cNvSpPr/>
        </xdr:nvSpPr>
        <xdr:spPr>
          <a:xfrm>
            <a:off x="1775069" y="1202162"/>
            <a:ext cx="1573728" cy="644223"/>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Trisodium phosphate [Intermediate]</a:t>
            </a:r>
          </a:p>
        </xdr:txBody>
      </xdr:sp>
      <xdr:cxnSp macro="">
        <xdr:nvCxnSpPr>
          <xdr:cNvPr id="29" name="Straight Arrow Connector 6"/>
          <xdr:cNvCxnSpPr>
            <a:stCxn id="28" idx="2"/>
            <a:endCxn id="27" idx="1"/>
          </xdr:cNvCxnSpPr>
        </xdr:nvCxnSpPr>
        <xdr:spPr>
          <a:xfrm flipV="1">
            <a:off x="3182069" y="1496334"/>
            <a:ext cx="366604" cy="2794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1" name="Upstream Emssion Data 7"/>
          <xdr:cNvSpPr/>
        </xdr:nvSpPr>
        <xdr:spPr>
          <a:xfrm>
            <a:off x="0" y="1418805"/>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Sodium gluconate [Intermediate]</a:t>
            </a:r>
          </a:p>
        </xdr:txBody>
      </xdr:sp>
      <xdr:cxnSp macro="">
        <xdr:nvCxnSpPr>
          <xdr:cNvPr id="32" name="Straight Arrow Connector 7"/>
          <xdr:cNvCxnSpPr>
            <a:stCxn id="31" idx="2"/>
            <a:endCxn id="30" idx="1"/>
          </xdr:cNvCxnSpPr>
        </xdr:nvCxnSpPr>
        <xdr:spPr>
          <a:xfrm flipV="1">
            <a:off x="1394770" y="1712976"/>
            <a:ext cx="2153903" cy="543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4" name="Upstream Emssion Data 8"/>
          <xdr:cNvSpPr/>
        </xdr:nvSpPr>
        <xdr:spPr>
          <a:xfrm>
            <a:off x="1775069" y="1635447"/>
            <a:ext cx="157372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Sodium hydroxide [Intermediate]</a:t>
            </a:r>
          </a:p>
        </xdr:txBody>
      </xdr:sp>
      <xdr:cxnSp macro="">
        <xdr:nvCxnSpPr>
          <xdr:cNvPr id="35" name="Straight Arrow Connector 8"/>
          <xdr:cNvCxnSpPr>
            <a:stCxn id="34" idx="2"/>
            <a:endCxn id="33" idx="1"/>
          </xdr:cNvCxnSpPr>
        </xdr:nvCxnSpPr>
        <xdr:spPr>
          <a:xfrm flipV="1">
            <a:off x="3168374" y="1929619"/>
            <a:ext cx="380299" cy="5439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7" name="Upstream Emssion Data 9"/>
          <xdr:cNvSpPr/>
        </xdr:nvSpPr>
        <xdr:spPr>
          <a:xfrm>
            <a:off x="0" y="1852090"/>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Sulphuric acid [Intermediate]</a:t>
            </a:r>
          </a:p>
        </xdr:txBody>
      </xdr:sp>
      <xdr:cxnSp macro="">
        <xdr:nvCxnSpPr>
          <xdr:cNvPr id="38" name="Straight Arrow Connector 9"/>
          <xdr:cNvCxnSpPr>
            <a:stCxn id="37" idx="2"/>
            <a:endCxn id="36" idx="1"/>
          </xdr:cNvCxnSpPr>
        </xdr:nvCxnSpPr>
        <xdr:spPr>
          <a:xfrm flipV="1">
            <a:off x="1394770" y="2146261"/>
            <a:ext cx="2153903" cy="543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0" name="Upstream Emssion Data 10"/>
          <xdr:cNvSpPr/>
        </xdr:nvSpPr>
        <xdr:spPr>
          <a:xfrm>
            <a:off x="1775069" y="2068732"/>
            <a:ext cx="157372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Nickel [Metals] [Intermediate]</a:t>
            </a:r>
          </a:p>
        </xdr:txBody>
      </xdr:sp>
      <xdr:cxnSp macro="">
        <xdr:nvCxnSpPr>
          <xdr:cNvPr id="41" name="Straight Arrow Connector 10"/>
          <xdr:cNvCxnSpPr>
            <a:stCxn id="40" idx="2"/>
            <a:endCxn id="39" idx="1"/>
          </xdr:cNvCxnSpPr>
        </xdr:nvCxnSpPr>
        <xdr:spPr>
          <a:xfrm flipV="1">
            <a:off x="3168374" y="2362904"/>
            <a:ext cx="380299" cy="5439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3" name="Upstream Emssion Data 11"/>
          <xdr:cNvSpPr/>
        </xdr:nvSpPr>
        <xdr:spPr>
          <a:xfrm>
            <a:off x="0" y="2285375"/>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Heat [Intermediate]</a:t>
            </a:r>
          </a:p>
        </xdr:txBody>
      </xdr:sp>
      <xdr:cxnSp macro="">
        <xdr:nvCxnSpPr>
          <xdr:cNvPr id="44" name="Straight Arrow Connector 11"/>
          <xdr:cNvCxnSpPr>
            <a:stCxn id="43" idx="2"/>
            <a:endCxn id="42" idx="1"/>
          </xdr:cNvCxnSpPr>
        </xdr:nvCxnSpPr>
        <xdr:spPr>
          <a:xfrm flipV="1">
            <a:off x="1394770" y="2579546"/>
            <a:ext cx="2153903" cy="543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6" name="Upstream Emssion Data 12"/>
          <xdr:cNvSpPr/>
        </xdr:nvSpPr>
        <xdr:spPr>
          <a:xfrm>
            <a:off x="1775069" y="2502017"/>
            <a:ext cx="157372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700">
                <a:solidFill>
                  <a:schemeClr val="tx1"/>
                </a:solidFill>
                <a:latin typeface="Arial" pitchFamily="34" charset="0"/>
                <a:cs typeface="Arial" pitchFamily="34" charset="0"/>
              </a:rPr>
              <a:t>Electricity [Intermediate]</a:t>
            </a:r>
          </a:p>
        </xdr:txBody>
      </xdr:sp>
      <xdr:cxnSp macro="">
        <xdr:nvCxnSpPr>
          <xdr:cNvPr id="47" name="Straight Arrow Connector 12"/>
          <xdr:cNvCxnSpPr>
            <a:stCxn id="46" idx="2"/>
            <a:endCxn id="45" idx="1"/>
          </xdr:cNvCxnSpPr>
        </xdr:nvCxnSpPr>
        <xdr:spPr>
          <a:xfrm flipV="1">
            <a:off x="3168374" y="2796189"/>
            <a:ext cx="380299" cy="5439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51" name="Boundary Group"/>
          <xdr:cNvGrpSpPr/>
        </xdr:nvGrpSpPr>
        <xdr:grpSpPr>
          <a:xfrm>
            <a:off x="3548673" y="304800"/>
            <a:ext cx="3651593"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NdFeB Permanent Magnet Manufacturing: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Manufacturing process for 1kg plated NdFeB permanent magnet</a:t>
              </a:r>
            </a:p>
          </xdr:txBody>
        </xdr:sp>
        <xdr:sp macro="" textlink="">
          <xdr:nvSpPr>
            <xdr:cNvPr id="12" name="Link 1"/>
            <xdr:cNvSpPr/>
          </xdr:nvSpPr>
          <xdr:spPr>
            <a:xfrm>
              <a:off x="3556000" y="304800"/>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xdr:cNvSpPr/>
          </xdr:nvSpPr>
          <xdr:spPr>
            <a:xfrm>
              <a:off x="3556000" y="521442"/>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3"/>
            <xdr:cNvSpPr/>
          </xdr:nvSpPr>
          <xdr:spPr>
            <a:xfrm>
              <a:off x="3556000" y="738085"/>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4"/>
            <xdr:cNvSpPr/>
          </xdr:nvSpPr>
          <xdr:spPr>
            <a:xfrm>
              <a:off x="3556000" y="954727"/>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Link 5"/>
            <xdr:cNvSpPr/>
          </xdr:nvSpPr>
          <xdr:spPr>
            <a:xfrm>
              <a:off x="3556000" y="1171370"/>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Link 6"/>
            <xdr:cNvSpPr/>
          </xdr:nvSpPr>
          <xdr:spPr>
            <a:xfrm>
              <a:off x="3556000" y="1388012"/>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0" name="Link 7"/>
            <xdr:cNvSpPr/>
          </xdr:nvSpPr>
          <xdr:spPr>
            <a:xfrm>
              <a:off x="3556000" y="1604655"/>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3" name="Link 8"/>
            <xdr:cNvSpPr/>
          </xdr:nvSpPr>
          <xdr:spPr>
            <a:xfrm>
              <a:off x="3556000" y="1821297"/>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6" name="Link 9"/>
            <xdr:cNvSpPr/>
          </xdr:nvSpPr>
          <xdr:spPr>
            <a:xfrm>
              <a:off x="3556000" y="2037940"/>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9" name="Link 10"/>
            <xdr:cNvSpPr/>
          </xdr:nvSpPr>
          <xdr:spPr>
            <a:xfrm>
              <a:off x="3556000" y="2254582"/>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2" name="Link 11"/>
            <xdr:cNvSpPr/>
          </xdr:nvSpPr>
          <xdr:spPr>
            <a:xfrm>
              <a:off x="3556000" y="2471225"/>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5" name="Link 12"/>
            <xdr:cNvSpPr/>
          </xdr:nvSpPr>
          <xdr:spPr>
            <a:xfrm>
              <a:off x="3556000" y="2687867"/>
              <a:ext cx="12700" cy="216643"/>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8" name="Link 13"/>
            <xdr:cNvSpPr/>
          </xdr:nvSpPr>
          <xdr:spPr>
            <a:xfrm>
              <a:off x="3556000" y="2904510"/>
              <a:ext cx="12700" cy="21664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49" name="Upstream Emssion Data 13"/>
          <xdr:cNvSpPr/>
        </xdr:nvSpPr>
        <xdr:spPr>
          <a:xfrm>
            <a:off x="0" y="2718660"/>
            <a:ext cx="157519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700">
                <a:solidFill>
                  <a:schemeClr val="tx1"/>
                </a:solidFill>
                <a:latin typeface="Arial" pitchFamily="34" charset="0"/>
                <a:cs typeface="Arial" pitchFamily="34" charset="0"/>
              </a:rPr>
              <a:t>Water [unspecified]</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azom.com/properties.aspx?ArticleID=75" TargetMode="External"/><Relationship Id="rId7" Type="http://schemas.openxmlformats.org/officeDocument/2006/relationships/hyperlink" Target="http://nparc.cisti-icist.nrc-cnrc.gc.ca/npsi/ctrl?action=rtdoc&amp;an=17118277&amp;lang=fr" TargetMode="External"/><Relationship Id="rId2" Type="http://schemas.openxmlformats.org/officeDocument/2006/relationships/hyperlink" Target="http://webbook.nist.gov/cgi/cbook.cgi?ID=C12069328&amp;Mask=2" TargetMode="External"/><Relationship Id="rId1" Type="http://schemas.openxmlformats.org/officeDocument/2006/relationships/hyperlink" Target="http://www.webelements.com/iron/thermochemistry.html" TargetMode="External"/><Relationship Id="rId6" Type="http://schemas.openxmlformats.org/officeDocument/2006/relationships/hyperlink" Target="http://www.ecoinvent.ch/" TargetMode="External"/><Relationship Id="rId5" Type="http://schemas.openxmlformats.org/officeDocument/2006/relationships/hyperlink" Target="http://www.engineeringtoolbox.com/water-thermal-properties-d_162.html" TargetMode="External"/><Relationship Id="rId4" Type="http://schemas.openxmlformats.org/officeDocument/2006/relationships/hyperlink" Target="http://www.webelements.com/neodymium/thermochemistr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11"/>
  <sheetViews>
    <sheetView workbookViewId="0">
      <selection activeCell="O4" sqref="O4"/>
    </sheetView>
  </sheetViews>
  <sheetFormatPr defaultColWidth="9.140625" defaultRowHeight="12.75" x14ac:dyDescent="0.2"/>
  <cols>
    <col min="1" max="1" width="2" style="2" customWidth="1"/>
    <col min="2" max="2" width="9.140625" style="3"/>
    <col min="3" max="3" width="26.8554687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452" t="s">
        <v>0</v>
      </c>
      <c r="B1" s="452"/>
      <c r="C1" s="452"/>
      <c r="D1" s="452"/>
      <c r="E1" s="452"/>
      <c r="F1" s="452"/>
      <c r="G1" s="452"/>
      <c r="H1" s="452"/>
      <c r="I1" s="452"/>
      <c r="J1" s="452"/>
      <c r="K1" s="452"/>
      <c r="L1" s="452"/>
      <c r="M1" s="452"/>
      <c r="N1" s="452"/>
      <c r="O1" s="1"/>
    </row>
    <row r="2" spans="1:27" ht="21" thickBot="1" x14ac:dyDescent="0.35">
      <c r="A2" s="452" t="s">
        <v>1</v>
      </c>
      <c r="B2" s="452"/>
      <c r="C2" s="452"/>
      <c r="D2" s="452"/>
      <c r="E2" s="452"/>
      <c r="F2" s="452"/>
      <c r="G2" s="452"/>
      <c r="H2" s="452"/>
      <c r="I2" s="452"/>
      <c r="J2" s="452"/>
      <c r="K2" s="452"/>
      <c r="L2" s="452"/>
      <c r="M2" s="452"/>
      <c r="N2" s="452"/>
      <c r="O2" s="1"/>
    </row>
    <row r="3" spans="1:27" ht="12.75" customHeight="1" thickBot="1" x14ac:dyDescent="0.25">
      <c r="B3" s="2"/>
      <c r="C3" s="4" t="s">
        <v>2</v>
      </c>
      <c r="D3" s="5" t="str">
        <f>'Data Summary'!D4</f>
        <v>NdFeB Permanent Magnet Manufacturing</v>
      </c>
      <c r="E3" s="6"/>
      <c r="F3" s="6"/>
      <c r="G3" s="6"/>
      <c r="H3" s="6"/>
      <c r="I3" s="6"/>
      <c r="J3" s="6"/>
      <c r="K3" s="6"/>
      <c r="L3" s="6"/>
      <c r="M3" s="7"/>
      <c r="N3" s="2"/>
      <c r="O3" s="2"/>
    </row>
    <row r="4" spans="1:27" ht="42.75" customHeight="1" thickBot="1" x14ac:dyDescent="0.25">
      <c r="B4" s="2"/>
      <c r="C4" s="4" t="s">
        <v>3</v>
      </c>
      <c r="D4" s="453" t="str">
        <f>'Data Summary'!D6</f>
        <v>Manufacturing process for 1kg plated NdFeB permanent magnet</v>
      </c>
      <c r="E4" s="454"/>
      <c r="F4" s="454"/>
      <c r="G4" s="454"/>
      <c r="H4" s="454"/>
      <c r="I4" s="454"/>
      <c r="J4" s="454"/>
      <c r="K4" s="454"/>
      <c r="L4" s="454"/>
      <c r="M4" s="455"/>
      <c r="N4" s="2"/>
      <c r="O4" s="2"/>
    </row>
    <row r="5" spans="1:27" ht="39" customHeight="1" thickBot="1" x14ac:dyDescent="0.25">
      <c r="B5" s="2"/>
      <c r="C5" s="4" t="s">
        <v>4</v>
      </c>
      <c r="D5" s="456" t="s">
        <v>945</v>
      </c>
      <c r="E5" s="457"/>
      <c r="F5" s="457"/>
      <c r="G5" s="457"/>
      <c r="H5" s="457"/>
      <c r="I5" s="457"/>
      <c r="J5" s="457"/>
      <c r="K5" s="457"/>
      <c r="L5" s="457"/>
      <c r="M5" s="458"/>
      <c r="N5" s="2"/>
      <c r="O5" s="2"/>
    </row>
    <row r="6" spans="1:27" ht="56.25" customHeight="1" thickBot="1" x14ac:dyDescent="0.25">
      <c r="B6" s="2"/>
      <c r="C6" s="8" t="s">
        <v>5</v>
      </c>
      <c r="D6" s="456" t="s">
        <v>6</v>
      </c>
      <c r="E6" s="457"/>
      <c r="F6" s="457"/>
      <c r="G6" s="457"/>
      <c r="H6" s="457"/>
      <c r="I6" s="457"/>
      <c r="J6" s="457"/>
      <c r="K6" s="457"/>
      <c r="L6" s="457"/>
      <c r="M6" s="458"/>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446" t="s">
        <v>10</v>
      </c>
      <c r="C9" s="10" t="s">
        <v>11</v>
      </c>
      <c r="D9" s="448" t="s">
        <v>12</v>
      </c>
      <c r="E9" s="448"/>
      <c r="F9" s="448"/>
      <c r="G9" s="448"/>
      <c r="H9" s="448"/>
      <c r="I9" s="448"/>
      <c r="J9" s="448"/>
      <c r="K9" s="448"/>
      <c r="L9" s="448"/>
      <c r="M9" s="449"/>
      <c r="N9" s="2"/>
      <c r="O9" s="2"/>
      <c r="P9" s="2"/>
      <c r="Q9" s="2"/>
      <c r="R9" s="2"/>
      <c r="S9" s="2"/>
      <c r="T9" s="2"/>
      <c r="U9" s="2"/>
      <c r="V9" s="2"/>
      <c r="W9" s="2"/>
      <c r="X9" s="2"/>
      <c r="Y9" s="2"/>
      <c r="Z9" s="2"/>
      <c r="AA9" s="2"/>
    </row>
    <row r="10" spans="1:27" s="11" customFormat="1" ht="15" customHeight="1" x14ac:dyDescent="0.2">
      <c r="A10" s="2"/>
      <c r="B10" s="447"/>
      <c r="C10" s="12" t="s">
        <v>13</v>
      </c>
      <c r="D10" s="450" t="s">
        <v>14</v>
      </c>
      <c r="E10" s="450"/>
      <c r="F10" s="450"/>
      <c r="G10" s="450"/>
      <c r="H10" s="450"/>
      <c r="I10" s="450"/>
      <c r="J10" s="450"/>
      <c r="K10" s="450"/>
      <c r="L10" s="450"/>
      <c r="M10" s="451"/>
      <c r="N10" s="2"/>
      <c r="O10" s="2"/>
      <c r="P10" s="2"/>
      <c r="Q10" s="2"/>
      <c r="R10" s="2"/>
      <c r="S10" s="2"/>
      <c r="T10" s="2"/>
      <c r="U10" s="2"/>
      <c r="V10" s="2"/>
      <c r="W10" s="2"/>
      <c r="X10" s="2"/>
      <c r="Y10" s="2"/>
      <c r="Z10" s="2"/>
      <c r="AA10" s="2"/>
    </row>
    <row r="11" spans="1:27" s="11" customFormat="1" ht="15" customHeight="1" x14ac:dyDescent="0.2">
      <c r="A11" s="2"/>
      <c r="B11" s="447"/>
      <c r="C11" s="12" t="s">
        <v>15</v>
      </c>
      <c r="D11" s="450" t="s">
        <v>16</v>
      </c>
      <c r="E11" s="450"/>
      <c r="F11" s="450"/>
      <c r="G11" s="450"/>
      <c r="H11" s="450"/>
      <c r="I11" s="450"/>
      <c r="J11" s="450"/>
      <c r="K11" s="450"/>
      <c r="L11" s="450"/>
      <c r="M11" s="451"/>
      <c r="N11" s="2"/>
      <c r="O11" s="2"/>
      <c r="P11" s="2"/>
      <c r="Q11" s="2"/>
      <c r="R11" s="2"/>
      <c r="S11" s="2"/>
      <c r="T11" s="2"/>
      <c r="U11" s="2"/>
      <c r="V11" s="2"/>
      <c r="W11" s="2"/>
      <c r="X11" s="2"/>
      <c r="Y11" s="2"/>
      <c r="Z11" s="2"/>
      <c r="AA11" s="2"/>
    </row>
    <row r="12" spans="1:27" s="11" customFormat="1" ht="15" customHeight="1" x14ac:dyDescent="0.2">
      <c r="A12" s="2"/>
      <c r="B12" s="447"/>
      <c r="C12" s="12" t="s">
        <v>17</v>
      </c>
      <c r="D12" s="450" t="s">
        <v>18</v>
      </c>
      <c r="E12" s="450"/>
      <c r="F12" s="450"/>
      <c r="G12" s="450"/>
      <c r="H12" s="450"/>
      <c r="I12" s="450"/>
      <c r="J12" s="450"/>
      <c r="K12" s="450"/>
      <c r="L12" s="450"/>
      <c r="M12" s="451"/>
      <c r="N12" s="2"/>
      <c r="O12" s="2"/>
      <c r="P12" s="2"/>
      <c r="Q12" s="2"/>
      <c r="R12" s="2"/>
      <c r="S12" s="2"/>
      <c r="T12" s="2"/>
      <c r="U12" s="2"/>
      <c r="V12" s="2"/>
      <c r="W12" s="2"/>
      <c r="X12" s="2"/>
      <c r="Y12" s="2"/>
      <c r="Z12" s="2"/>
      <c r="AA12" s="2"/>
    </row>
    <row r="13" spans="1:27" ht="15" customHeight="1" x14ac:dyDescent="0.2">
      <c r="B13" s="461" t="s">
        <v>19</v>
      </c>
      <c r="C13" s="13" t="s">
        <v>918</v>
      </c>
      <c r="D13" s="463" t="s">
        <v>924</v>
      </c>
      <c r="E13" s="463"/>
      <c r="F13" s="463"/>
      <c r="G13" s="463"/>
      <c r="H13" s="463"/>
      <c r="I13" s="463"/>
      <c r="J13" s="463"/>
      <c r="K13" s="463"/>
      <c r="L13" s="463"/>
      <c r="M13" s="464"/>
      <c r="N13" s="2"/>
      <c r="O13" s="2"/>
    </row>
    <row r="14" spans="1:27" ht="15" customHeight="1" x14ac:dyDescent="0.2">
      <c r="B14" s="461"/>
      <c r="C14" s="13" t="s">
        <v>919</v>
      </c>
      <c r="D14" s="463" t="s">
        <v>925</v>
      </c>
      <c r="E14" s="463"/>
      <c r="F14" s="463"/>
      <c r="G14" s="463"/>
      <c r="H14" s="463"/>
      <c r="I14" s="463"/>
      <c r="J14" s="463"/>
      <c r="K14" s="463"/>
      <c r="L14" s="463"/>
      <c r="M14" s="464"/>
      <c r="N14" s="2"/>
      <c r="O14" s="2"/>
    </row>
    <row r="15" spans="1:27" ht="15" customHeight="1" x14ac:dyDescent="0.2">
      <c r="B15" s="461"/>
      <c r="C15" s="13" t="s">
        <v>920</v>
      </c>
      <c r="D15" s="463" t="s">
        <v>926</v>
      </c>
      <c r="E15" s="463"/>
      <c r="F15" s="463"/>
      <c r="G15" s="463"/>
      <c r="H15" s="463"/>
      <c r="I15" s="463"/>
      <c r="J15" s="463"/>
      <c r="K15" s="463"/>
      <c r="L15" s="463"/>
      <c r="M15" s="464"/>
      <c r="N15" s="2"/>
      <c r="O15" s="2"/>
    </row>
    <row r="16" spans="1:27" ht="15" customHeight="1" x14ac:dyDescent="0.2">
      <c r="B16" s="461"/>
      <c r="C16" s="13" t="s">
        <v>921</v>
      </c>
      <c r="D16" s="463" t="s">
        <v>927</v>
      </c>
      <c r="E16" s="469"/>
      <c r="F16" s="469"/>
      <c r="G16" s="469"/>
      <c r="H16" s="469"/>
      <c r="I16" s="469"/>
      <c r="J16" s="469"/>
      <c r="K16" s="469"/>
      <c r="L16" s="469"/>
      <c r="M16" s="470"/>
      <c r="N16" s="2"/>
      <c r="O16" s="2"/>
    </row>
    <row r="17" spans="2:15" ht="15" customHeight="1" x14ac:dyDescent="0.2">
      <c r="B17" s="461"/>
      <c r="C17" s="13" t="s">
        <v>922</v>
      </c>
      <c r="D17" s="463" t="s">
        <v>928</v>
      </c>
      <c r="E17" s="469"/>
      <c r="F17" s="469"/>
      <c r="G17" s="469"/>
      <c r="H17" s="469"/>
      <c r="I17" s="469"/>
      <c r="J17" s="469"/>
      <c r="K17" s="469"/>
      <c r="L17" s="469"/>
      <c r="M17" s="470"/>
      <c r="N17" s="2"/>
      <c r="O17" s="2"/>
    </row>
    <row r="18" spans="2:15" ht="15" customHeight="1" x14ac:dyDescent="0.2">
      <c r="B18" s="461"/>
      <c r="C18" s="13" t="s">
        <v>923</v>
      </c>
      <c r="D18" s="463" t="s">
        <v>929</v>
      </c>
      <c r="E18" s="469"/>
      <c r="F18" s="469"/>
      <c r="G18" s="469"/>
      <c r="H18" s="469"/>
      <c r="I18" s="469"/>
      <c r="J18" s="469"/>
      <c r="K18" s="469"/>
      <c r="L18" s="469"/>
      <c r="M18" s="470"/>
      <c r="N18" s="2"/>
      <c r="O18" s="2"/>
    </row>
    <row r="19" spans="2:15" ht="15" customHeight="1" x14ac:dyDescent="0.2">
      <c r="B19" s="461"/>
      <c r="C19" s="13" t="s">
        <v>344</v>
      </c>
      <c r="D19" s="463" t="s">
        <v>930</v>
      </c>
      <c r="E19" s="469"/>
      <c r="F19" s="469"/>
      <c r="G19" s="469"/>
      <c r="H19" s="469"/>
      <c r="I19" s="469"/>
      <c r="J19" s="469"/>
      <c r="K19" s="469"/>
      <c r="L19" s="469"/>
      <c r="M19" s="470"/>
      <c r="N19" s="2"/>
      <c r="O19" s="2"/>
    </row>
    <row r="20" spans="2:15" ht="15" customHeight="1" x14ac:dyDescent="0.2">
      <c r="B20" s="461"/>
      <c r="C20" s="14" t="s">
        <v>20</v>
      </c>
      <c r="D20" s="465" t="s">
        <v>21</v>
      </c>
      <c r="E20" s="465"/>
      <c r="F20" s="465"/>
      <c r="G20" s="465"/>
      <c r="H20" s="465"/>
      <c r="I20" s="465"/>
      <c r="J20" s="465"/>
      <c r="K20" s="465"/>
      <c r="L20" s="465"/>
      <c r="M20" s="466"/>
      <c r="N20" s="2"/>
      <c r="O20" s="2"/>
    </row>
    <row r="21" spans="2:15" ht="15" customHeight="1" x14ac:dyDescent="0.2">
      <c r="B21" s="461"/>
      <c r="C21" s="15" t="s">
        <v>22</v>
      </c>
      <c r="D21" s="465" t="s">
        <v>22</v>
      </c>
      <c r="E21" s="465"/>
      <c r="F21" s="465"/>
      <c r="G21" s="465"/>
      <c r="H21" s="465"/>
      <c r="I21" s="465"/>
      <c r="J21" s="465"/>
      <c r="K21" s="465"/>
      <c r="L21" s="465"/>
      <c r="M21" s="466"/>
      <c r="N21" s="2"/>
      <c r="O21" s="2"/>
    </row>
    <row r="22" spans="2:15" ht="15" customHeight="1" thickBot="1" x14ac:dyDescent="0.25">
      <c r="B22" s="462"/>
      <c r="C22" s="16"/>
      <c r="D22" s="467"/>
      <c r="E22" s="467"/>
      <c r="F22" s="467"/>
      <c r="G22" s="467"/>
      <c r="H22" s="467"/>
      <c r="I22" s="467"/>
      <c r="J22" s="467"/>
      <c r="K22" s="467"/>
      <c r="L22" s="467"/>
      <c r="M22" s="468"/>
      <c r="N22" s="2"/>
      <c r="O22" s="2"/>
    </row>
    <row r="23" spans="2:15" x14ac:dyDescent="0.2">
      <c r="B23" s="9"/>
      <c r="C23" s="9"/>
      <c r="D23" s="9"/>
      <c r="E23" s="9"/>
      <c r="F23" s="9"/>
      <c r="G23" s="9"/>
      <c r="H23" s="9"/>
      <c r="I23" s="9"/>
      <c r="J23" s="9"/>
      <c r="K23" s="9"/>
      <c r="L23" s="9"/>
      <c r="M23" s="9"/>
      <c r="N23" s="2"/>
      <c r="O23" s="2"/>
    </row>
    <row r="24" spans="2:15" x14ac:dyDescent="0.2">
      <c r="B24" s="9" t="s">
        <v>23</v>
      </c>
      <c r="C24" s="9"/>
      <c r="D24" s="9"/>
      <c r="E24" s="9"/>
      <c r="F24" s="9"/>
      <c r="G24" s="9"/>
      <c r="H24" s="9"/>
      <c r="I24" s="9"/>
      <c r="J24" s="9"/>
      <c r="K24" s="9"/>
      <c r="L24" s="9"/>
      <c r="M24" s="9"/>
      <c r="N24" s="2"/>
      <c r="O24" s="2"/>
    </row>
    <row r="25" spans="2:15" x14ac:dyDescent="0.2">
      <c r="B25" s="9"/>
      <c r="C25" s="17">
        <v>41823</v>
      </c>
      <c r="D25" s="9"/>
      <c r="E25" s="9"/>
      <c r="F25" s="9"/>
      <c r="G25" s="9"/>
      <c r="H25" s="9"/>
      <c r="I25" s="9"/>
      <c r="J25" s="9"/>
      <c r="K25" s="9"/>
      <c r="L25" s="9"/>
      <c r="M25" s="9"/>
      <c r="N25" s="2"/>
      <c r="O25" s="2"/>
    </row>
    <row r="26" spans="2:15" x14ac:dyDescent="0.2">
      <c r="B26" s="9" t="s">
        <v>24</v>
      </c>
      <c r="C26" s="9"/>
      <c r="D26" s="9"/>
      <c r="E26" s="9"/>
      <c r="F26" s="9"/>
      <c r="G26" s="9"/>
      <c r="H26" s="9"/>
      <c r="I26" s="9"/>
      <c r="J26" s="9"/>
      <c r="K26" s="9"/>
      <c r="L26" s="9"/>
      <c r="M26" s="9"/>
      <c r="N26" s="2"/>
      <c r="O26" s="2"/>
    </row>
    <row r="27" spans="2:15" x14ac:dyDescent="0.2">
      <c r="B27" s="9"/>
      <c r="C27" s="18" t="s">
        <v>25</v>
      </c>
      <c r="D27" s="9"/>
      <c r="E27" s="9"/>
      <c r="F27" s="9"/>
      <c r="G27" s="9"/>
      <c r="H27" s="9"/>
      <c r="I27" s="9"/>
      <c r="J27" s="9"/>
      <c r="K27" s="9"/>
      <c r="L27" s="9"/>
      <c r="M27" s="9"/>
      <c r="N27" s="2"/>
      <c r="O27" s="2"/>
    </row>
    <row r="28" spans="2:15" x14ac:dyDescent="0.2">
      <c r="B28" s="9" t="s">
        <v>26</v>
      </c>
      <c r="C28" s="18"/>
      <c r="D28" s="9"/>
      <c r="E28" s="9"/>
      <c r="F28" s="9"/>
      <c r="G28" s="9"/>
      <c r="H28" s="9"/>
      <c r="I28" s="9"/>
      <c r="J28" s="9"/>
      <c r="K28" s="9"/>
      <c r="L28" s="9"/>
      <c r="M28" s="9"/>
      <c r="N28" s="2"/>
      <c r="O28" s="2"/>
    </row>
    <row r="29" spans="2:15" x14ac:dyDescent="0.2">
      <c r="B29" s="9"/>
      <c r="C29" s="18" t="s">
        <v>27</v>
      </c>
      <c r="D29" s="9"/>
      <c r="E29" s="9"/>
      <c r="F29" s="9"/>
      <c r="G29" s="9"/>
      <c r="H29" s="9"/>
      <c r="I29" s="9"/>
      <c r="J29" s="9"/>
      <c r="K29" s="9"/>
      <c r="L29" s="9"/>
      <c r="M29" s="9"/>
      <c r="N29" s="2"/>
      <c r="O29" s="2"/>
    </row>
    <row r="30" spans="2:15" x14ac:dyDescent="0.2">
      <c r="B30" s="9" t="s">
        <v>28</v>
      </c>
      <c r="C30" s="9"/>
      <c r="D30" s="9"/>
      <c r="E30" s="9"/>
      <c r="F30" s="9"/>
      <c r="G30" s="9"/>
      <c r="H30" s="9"/>
      <c r="I30" s="9"/>
      <c r="J30" s="9"/>
      <c r="K30" s="9"/>
      <c r="L30" s="9"/>
      <c r="M30" s="9"/>
      <c r="N30" s="2"/>
      <c r="O30" s="2"/>
    </row>
    <row r="31" spans="2:15" ht="38.25" customHeight="1" x14ac:dyDescent="0.2">
      <c r="B31" s="9"/>
      <c r="C31" s="459" t="str">
        <f>"This document should be cited as: NETL (2014). NETL Life Cycle Inventory Data – Unit Process: "&amp;D3&amp;". U.S. Department of Energy, National Energy Technology Laboratory. Last Updated: July 2014 (version 01). www.netl.doe.gov/LCA (http://www.netl.doe.gov/LCA)"</f>
        <v>This document should be cited as: NETL (2014). NETL Life Cycle Inventory Data – Unit Process: NdFeB Permanent Magnet Manufacturing. U.S. Department of Energy, National Energy Technology Laboratory. Last Updated: July 2014 (version 01). www.netl.doe.gov/LCA (http://www.netl.doe.gov/LCA)</v>
      </c>
      <c r="D31" s="459"/>
      <c r="E31" s="459"/>
      <c r="F31" s="459"/>
      <c r="G31" s="459"/>
      <c r="H31" s="459"/>
      <c r="I31" s="459"/>
      <c r="J31" s="459"/>
      <c r="K31" s="459"/>
      <c r="L31" s="459"/>
      <c r="M31" s="459"/>
      <c r="N31" s="2"/>
      <c r="O31" s="2"/>
    </row>
    <row r="32" spans="2:15" x14ac:dyDescent="0.2">
      <c r="B32" s="9" t="s">
        <v>29</v>
      </c>
      <c r="C32" s="9"/>
      <c r="D32" s="9"/>
      <c r="E32" s="9"/>
      <c r="F32" s="9"/>
      <c r="G32" s="18"/>
      <c r="H32" s="18"/>
      <c r="I32" s="18"/>
      <c r="J32" s="18"/>
      <c r="K32" s="18"/>
      <c r="L32" s="18"/>
      <c r="M32" s="18"/>
      <c r="N32" s="2"/>
      <c r="O32" s="2"/>
    </row>
    <row r="33" spans="2:16" x14ac:dyDescent="0.2">
      <c r="B33" s="18"/>
      <c r="C33" s="18" t="s">
        <v>30</v>
      </c>
      <c r="D33" s="18"/>
      <c r="E33" s="19" t="s">
        <v>31</v>
      </c>
      <c r="F33" s="20"/>
      <c r="G33" s="18" t="s">
        <v>32</v>
      </c>
      <c r="H33" s="18"/>
      <c r="I33" s="18"/>
      <c r="J33" s="18"/>
      <c r="K33" s="18"/>
      <c r="L33" s="18"/>
      <c r="M33" s="18"/>
      <c r="N33" s="2"/>
      <c r="O33" s="2"/>
      <c r="P33" s="18"/>
    </row>
    <row r="34" spans="2:16" x14ac:dyDescent="0.2">
      <c r="B34" s="18"/>
      <c r="C34" s="18" t="s">
        <v>33</v>
      </c>
      <c r="D34" s="18"/>
      <c r="E34" s="18"/>
      <c r="F34" s="18"/>
      <c r="G34" s="18"/>
      <c r="H34" s="18"/>
      <c r="I34" s="18"/>
      <c r="J34" s="18"/>
      <c r="K34" s="18"/>
      <c r="L34" s="18"/>
      <c r="M34" s="18"/>
      <c r="N34" s="2"/>
      <c r="O34" s="2"/>
      <c r="P34" s="18"/>
    </row>
    <row r="35" spans="2:16" x14ac:dyDescent="0.2">
      <c r="B35" s="18"/>
      <c r="C35" s="18" t="s">
        <v>34</v>
      </c>
      <c r="D35" s="18"/>
      <c r="E35" s="18"/>
      <c r="F35" s="18"/>
      <c r="G35" s="18"/>
      <c r="H35" s="18"/>
      <c r="I35" s="18"/>
      <c r="J35" s="18"/>
      <c r="K35" s="18"/>
      <c r="L35" s="18"/>
      <c r="M35" s="18"/>
      <c r="N35" s="18"/>
      <c r="O35" s="18"/>
      <c r="P35" s="18"/>
    </row>
    <row r="36" spans="2:16" x14ac:dyDescent="0.2">
      <c r="B36" s="18"/>
      <c r="C36" s="460" t="s">
        <v>35</v>
      </c>
      <c r="D36" s="460"/>
      <c r="E36" s="460"/>
      <c r="F36" s="460"/>
      <c r="G36" s="460"/>
      <c r="H36" s="460"/>
      <c r="I36" s="460"/>
      <c r="J36" s="460"/>
      <c r="K36" s="460"/>
      <c r="L36" s="460"/>
      <c r="M36" s="460"/>
      <c r="N36" s="18"/>
      <c r="O36" s="18"/>
      <c r="P36" s="18"/>
    </row>
    <row r="37" spans="2:16" x14ac:dyDescent="0.2">
      <c r="B37" s="18"/>
      <c r="C37" s="18"/>
      <c r="D37" s="18"/>
      <c r="E37" s="18"/>
      <c r="F37" s="18"/>
      <c r="G37" s="18"/>
      <c r="H37" s="18"/>
      <c r="I37" s="18"/>
      <c r="J37" s="18"/>
      <c r="K37" s="18"/>
      <c r="L37" s="18"/>
      <c r="M37" s="18"/>
      <c r="N37" s="18"/>
      <c r="O37" s="18"/>
    </row>
    <row r="38" spans="2:16" x14ac:dyDescent="0.2">
      <c r="B38" s="9" t="s">
        <v>36</v>
      </c>
      <c r="C38" s="18"/>
      <c r="D38" s="18"/>
      <c r="E38" s="18"/>
      <c r="F38" s="18"/>
      <c r="G38" s="18"/>
      <c r="H38" s="18"/>
      <c r="I38" s="18"/>
      <c r="J38" s="18"/>
      <c r="K38" s="18"/>
      <c r="L38" s="18"/>
      <c r="M38" s="18"/>
      <c r="N38" s="18"/>
      <c r="O38" s="18"/>
    </row>
    <row r="39" spans="2:16" x14ac:dyDescent="0.2">
      <c r="B39" s="18"/>
      <c r="C39" s="18"/>
      <c r="D39" s="18"/>
      <c r="E39" s="18"/>
      <c r="F39" s="18"/>
      <c r="G39" s="18"/>
      <c r="H39" s="18"/>
      <c r="I39" s="18"/>
      <c r="J39" s="18"/>
      <c r="K39" s="18"/>
      <c r="L39" s="18"/>
      <c r="M39" s="18"/>
      <c r="N39" s="18"/>
      <c r="O39" s="18"/>
    </row>
    <row r="40" spans="2:16" x14ac:dyDescent="0.2">
      <c r="B40" s="18"/>
      <c r="C40" s="18"/>
      <c r="D40" s="18"/>
      <c r="E40" s="18"/>
      <c r="F40" s="18"/>
      <c r="G40" s="18"/>
      <c r="H40" s="18"/>
      <c r="I40" s="18"/>
      <c r="J40" s="18"/>
      <c r="K40" s="18"/>
      <c r="L40" s="18"/>
      <c r="M40" s="18"/>
      <c r="N40" s="18"/>
      <c r="O40" s="18"/>
    </row>
    <row r="41" spans="2:16" x14ac:dyDescent="0.2">
      <c r="B41" s="18"/>
      <c r="C41" s="18"/>
      <c r="D41" s="18"/>
      <c r="E41" s="18"/>
      <c r="F41" s="18"/>
      <c r="G41" s="18"/>
      <c r="H41" s="18"/>
      <c r="I41" s="18"/>
      <c r="J41" s="18"/>
      <c r="K41" s="18"/>
      <c r="L41" s="18"/>
      <c r="M41" s="18"/>
      <c r="N41" s="18"/>
      <c r="O41" s="18"/>
    </row>
    <row r="42" spans="2:16" x14ac:dyDescent="0.2">
      <c r="B42" s="18"/>
      <c r="C42" s="18"/>
      <c r="D42" s="18"/>
      <c r="E42" s="18"/>
      <c r="F42" s="18"/>
      <c r="G42" s="18"/>
      <c r="H42" s="18"/>
      <c r="I42" s="18"/>
      <c r="J42" s="18"/>
      <c r="K42" s="18"/>
      <c r="L42" s="18"/>
      <c r="M42" s="18"/>
      <c r="N42" s="18"/>
      <c r="O42" s="18"/>
    </row>
    <row r="43" spans="2:16" x14ac:dyDescent="0.2">
      <c r="B43" s="18"/>
      <c r="C43" s="18"/>
      <c r="D43" s="18"/>
      <c r="E43" s="18"/>
      <c r="F43" s="18"/>
      <c r="G43" s="18"/>
      <c r="H43" s="18"/>
      <c r="I43" s="18"/>
      <c r="J43" s="18"/>
      <c r="K43" s="18"/>
      <c r="L43" s="18"/>
      <c r="M43" s="18"/>
      <c r="N43" s="18"/>
      <c r="O43" s="18"/>
    </row>
    <row r="44" spans="2:16" x14ac:dyDescent="0.2">
      <c r="B44" s="18"/>
      <c r="C44" s="18"/>
      <c r="D44" s="18"/>
      <c r="E44" s="18"/>
      <c r="F44" s="18"/>
      <c r="G44" s="18"/>
      <c r="H44" s="18"/>
      <c r="I44" s="18"/>
      <c r="J44" s="18"/>
      <c r="K44" s="18"/>
      <c r="L44" s="18"/>
      <c r="M44" s="18"/>
      <c r="N44" s="18"/>
      <c r="O44" s="18"/>
    </row>
    <row r="45" spans="2:16" x14ac:dyDescent="0.2">
      <c r="B45" s="18"/>
      <c r="C45" s="18"/>
      <c r="D45" s="18"/>
      <c r="E45" s="18"/>
      <c r="F45" s="18"/>
      <c r="G45" s="18"/>
      <c r="H45" s="18"/>
      <c r="I45" s="18"/>
      <c r="J45" s="18"/>
      <c r="K45" s="18"/>
      <c r="L45" s="18"/>
      <c r="M45" s="18"/>
      <c r="N45" s="18"/>
      <c r="O45" s="18"/>
    </row>
    <row r="46" spans="2:16" x14ac:dyDescent="0.2">
      <c r="B46" s="18"/>
      <c r="C46" s="18"/>
      <c r="D46" s="18"/>
      <c r="E46" s="18"/>
      <c r="F46" s="18"/>
      <c r="G46" s="18"/>
      <c r="H46" s="18"/>
      <c r="I46" s="18"/>
      <c r="J46" s="18"/>
      <c r="K46" s="18"/>
      <c r="L46" s="18"/>
      <c r="M46" s="18"/>
      <c r="N46" s="18"/>
      <c r="O46" s="18"/>
    </row>
    <row r="47" spans="2:16" x14ac:dyDescent="0.2">
      <c r="B47" s="18"/>
      <c r="C47" s="18"/>
      <c r="D47" s="18"/>
      <c r="E47" s="18"/>
      <c r="F47" s="18"/>
      <c r="G47" s="18"/>
      <c r="H47" s="18"/>
      <c r="I47" s="18"/>
      <c r="J47" s="18"/>
      <c r="K47" s="18"/>
      <c r="L47" s="18"/>
      <c r="M47" s="18"/>
      <c r="N47" s="18"/>
      <c r="O47" s="18"/>
    </row>
    <row r="48" spans="2:16" x14ac:dyDescent="0.2">
      <c r="B48" s="18"/>
      <c r="C48" s="18"/>
      <c r="D48" s="18"/>
      <c r="E48" s="18"/>
      <c r="F48" s="18"/>
      <c r="G48" s="18"/>
      <c r="H48" s="18"/>
      <c r="I48" s="18"/>
      <c r="J48" s="18"/>
      <c r="K48" s="18"/>
      <c r="L48" s="18"/>
      <c r="M48" s="18"/>
      <c r="N48" s="18"/>
      <c r="O48" s="18"/>
    </row>
    <row r="49" spans="2:15" x14ac:dyDescent="0.2">
      <c r="B49" s="18"/>
      <c r="C49" s="18"/>
      <c r="D49" s="18"/>
      <c r="E49" s="18"/>
      <c r="F49" s="18"/>
      <c r="G49" s="18"/>
      <c r="H49" s="18"/>
      <c r="I49" s="18"/>
      <c r="J49" s="18"/>
      <c r="K49" s="18"/>
      <c r="L49" s="18"/>
      <c r="M49" s="18"/>
      <c r="N49" s="18"/>
      <c r="O49" s="18"/>
    </row>
    <row r="50" spans="2:15" x14ac:dyDescent="0.2">
      <c r="B50" s="18"/>
      <c r="C50" s="18"/>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9" t="s">
        <v>37</v>
      </c>
      <c r="C54" s="18"/>
      <c r="D54" s="18"/>
      <c r="E54" s="18"/>
      <c r="F54" s="18"/>
      <c r="G54" s="18"/>
      <c r="H54" s="18"/>
      <c r="I54" s="18"/>
      <c r="J54" s="18"/>
      <c r="K54" s="18"/>
      <c r="L54" s="18"/>
      <c r="M54" s="18"/>
      <c r="N54" s="18"/>
      <c r="O54" s="18"/>
    </row>
    <row r="55" spans="2:15" x14ac:dyDescent="0.2">
      <c r="B55" s="18"/>
      <c r="C55" s="21" t="s">
        <v>38</v>
      </c>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row r="507" spans="2:15" x14ac:dyDescent="0.2">
      <c r="B507" s="18"/>
      <c r="C507" s="18"/>
      <c r="D507" s="18"/>
      <c r="E507" s="18"/>
      <c r="F507" s="18"/>
      <c r="G507" s="18"/>
      <c r="H507" s="18"/>
      <c r="I507" s="18"/>
      <c r="J507" s="18"/>
      <c r="K507" s="18"/>
      <c r="L507" s="18"/>
      <c r="M507" s="18"/>
      <c r="N507" s="18"/>
      <c r="O507" s="18"/>
    </row>
    <row r="508" spans="2:15" x14ac:dyDescent="0.2">
      <c r="B508" s="18"/>
      <c r="C508" s="18"/>
      <c r="D508" s="18"/>
      <c r="E508" s="18"/>
      <c r="F508" s="18"/>
      <c r="G508" s="18"/>
      <c r="H508" s="18"/>
      <c r="I508" s="18"/>
      <c r="J508" s="18"/>
      <c r="K508" s="18"/>
      <c r="L508" s="18"/>
      <c r="M508" s="18"/>
      <c r="N508" s="18"/>
      <c r="O508" s="18"/>
    </row>
    <row r="509" spans="2:15" x14ac:dyDescent="0.2">
      <c r="B509" s="18"/>
      <c r="C509" s="18"/>
      <c r="D509" s="18"/>
      <c r="E509" s="18"/>
      <c r="F509" s="18"/>
      <c r="G509" s="18"/>
      <c r="H509" s="18"/>
      <c r="I509" s="18"/>
      <c r="J509" s="18"/>
      <c r="K509" s="18"/>
      <c r="L509" s="18"/>
      <c r="M509" s="18"/>
      <c r="N509" s="18"/>
      <c r="O509" s="18"/>
    </row>
    <row r="510" spans="2:15" x14ac:dyDescent="0.2">
      <c r="B510" s="18"/>
      <c r="C510" s="18"/>
      <c r="D510" s="18"/>
      <c r="E510" s="18"/>
      <c r="F510" s="18"/>
      <c r="G510" s="18"/>
      <c r="H510" s="18"/>
      <c r="I510" s="18"/>
      <c r="J510" s="18"/>
      <c r="K510" s="18"/>
      <c r="L510" s="18"/>
      <c r="M510" s="18"/>
      <c r="N510" s="18"/>
      <c r="O510" s="18"/>
    </row>
    <row r="511" spans="2:15" x14ac:dyDescent="0.2">
      <c r="B511" s="18"/>
      <c r="C511" s="18"/>
      <c r="D511" s="18"/>
      <c r="E511" s="18"/>
      <c r="F511" s="18"/>
      <c r="G511" s="18"/>
      <c r="H511" s="18"/>
      <c r="I511" s="18"/>
      <c r="J511" s="18"/>
      <c r="K511" s="18"/>
      <c r="L511" s="18"/>
      <c r="M511" s="18"/>
      <c r="N511" s="18"/>
      <c r="O511" s="18"/>
    </row>
  </sheetData>
  <mergeCells count="23">
    <mergeCell ref="C31:M31"/>
    <mergeCell ref="C36:M36"/>
    <mergeCell ref="B13:B22"/>
    <mergeCell ref="D13:M13"/>
    <mergeCell ref="D14:M14"/>
    <mergeCell ref="D15:M15"/>
    <mergeCell ref="D20:M20"/>
    <mergeCell ref="D21:M21"/>
    <mergeCell ref="D22:M22"/>
    <mergeCell ref="D16:M16"/>
    <mergeCell ref="D17:M17"/>
    <mergeCell ref="D18:M18"/>
    <mergeCell ref="D19:M19"/>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31"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M73"/>
  <sheetViews>
    <sheetView workbookViewId="0"/>
  </sheetViews>
  <sheetFormatPr defaultRowHeight="15" x14ac:dyDescent="0.25"/>
  <cols>
    <col min="1" max="1" width="48.85546875" customWidth="1"/>
    <col min="2" max="2" width="8.5703125" bestFit="1" customWidth="1"/>
    <col min="3" max="3" width="10.140625" bestFit="1" customWidth="1"/>
    <col min="4" max="4" width="35.42578125" customWidth="1"/>
    <col min="5" max="5" width="15.140625" customWidth="1"/>
    <col min="7" max="7" width="35.5703125" bestFit="1" customWidth="1"/>
    <col min="11" max="11" width="27.7109375" customWidth="1"/>
    <col min="12" max="12" width="13.42578125" customWidth="1"/>
    <col min="13" max="13" width="17" customWidth="1"/>
  </cols>
  <sheetData>
    <row r="1" spans="1:13" ht="21" x14ac:dyDescent="0.35">
      <c r="D1" s="237" t="s">
        <v>645</v>
      </c>
    </row>
    <row r="4" spans="1:13" ht="15.75" thickBot="1" x14ac:dyDescent="0.3">
      <c r="A4" s="292"/>
      <c r="B4" s="292"/>
      <c r="C4" s="292"/>
      <c r="D4" s="292"/>
      <c r="E4" s="292"/>
      <c r="F4" s="292"/>
      <c r="G4" s="292"/>
      <c r="H4" s="292"/>
    </row>
    <row r="5" spans="1:13" ht="15" customHeight="1" x14ac:dyDescent="0.25">
      <c r="A5" s="238"/>
      <c r="B5" s="292"/>
      <c r="C5" s="292"/>
      <c r="D5" s="292"/>
      <c r="E5" s="292"/>
      <c r="F5" s="292"/>
      <c r="G5" s="335" t="s">
        <v>419</v>
      </c>
      <c r="H5" s="336"/>
      <c r="I5" s="336"/>
      <c r="J5" s="336"/>
      <c r="K5" s="336"/>
      <c r="L5" s="336"/>
      <c r="M5" s="337"/>
    </row>
    <row r="6" spans="1:13" ht="15" customHeight="1" x14ac:dyDescent="0.25">
      <c r="A6" s="259" t="s">
        <v>242</v>
      </c>
      <c r="B6" s="260" t="s">
        <v>78</v>
      </c>
      <c r="C6" s="260" t="s">
        <v>305</v>
      </c>
      <c r="D6" s="260" t="s">
        <v>306</v>
      </c>
      <c r="E6" s="293" t="s">
        <v>63</v>
      </c>
      <c r="G6" s="338" t="s">
        <v>242</v>
      </c>
      <c r="H6" s="339" t="s">
        <v>78</v>
      </c>
      <c r="I6" s="339" t="s">
        <v>305</v>
      </c>
      <c r="J6" s="339" t="s">
        <v>306</v>
      </c>
      <c r="K6" s="361" t="s">
        <v>63</v>
      </c>
      <c r="L6" s="361" t="s">
        <v>331</v>
      </c>
      <c r="M6" s="340" t="s">
        <v>22</v>
      </c>
    </row>
    <row r="7" spans="1:13" ht="15" customHeight="1" x14ac:dyDescent="0.25">
      <c r="A7" s="265" t="s">
        <v>368</v>
      </c>
      <c r="B7" s="266"/>
      <c r="C7" s="290"/>
      <c r="D7" s="290"/>
      <c r="E7" s="290"/>
      <c r="G7" s="341" t="s">
        <v>368</v>
      </c>
      <c r="H7" s="342"/>
      <c r="I7" s="343"/>
      <c r="J7" s="343"/>
      <c r="K7" s="343"/>
      <c r="L7" s="366"/>
      <c r="M7" s="367"/>
    </row>
    <row r="8" spans="1:13" ht="15" customHeight="1" x14ac:dyDescent="0.25">
      <c r="A8" s="239" t="s">
        <v>304</v>
      </c>
      <c r="B8" s="269">
        <v>1</v>
      </c>
      <c r="C8" s="290"/>
      <c r="D8" s="290"/>
      <c r="E8" s="289" t="s">
        <v>42</v>
      </c>
      <c r="G8" s="426" t="s">
        <v>568</v>
      </c>
      <c r="H8" s="269">
        <f>B8*$H$16</f>
        <v>2.0408163265306123</v>
      </c>
      <c r="I8" s="305"/>
      <c r="J8" s="305"/>
      <c r="K8" s="289" t="s">
        <v>42</v>
      </c>
      <c r="L8" s="305" t="s">
        <v>680</v>
      </c>
      <c r="M8" s="325"/>
    </row>
    <row r="9" spans="1:13" ht="15" customHeight="1" x14ac:dyDescent="0.25">
      <c r="A9" s="239" t="s">
        <v>269</v>
      </c>
      <c r="B9" s="294">
        <f>AVERAGE(C9:D9)</f>
        <v>5.0351500000000007</v>
      </c>
      <c r="C9" s="294">
        <f>B47</f>
        <v>1.4662999999999999</v>
      </c>
      <c r="D9" s="273">
        <f>A42</f>
        <v>8.604000000000001</v>
      </c>
      <c r="E9" s="289" t="s">
        <v>270</v>
      </c>
      <c r="G9" s="348" t="s">
        <v>501</v>
      </c>
      <c r="H9" s="369">
        <f>B9</f>
        <v>5.0351500000000007</v>
      </c>
      <c r="I9" s="369">
        <f>C9</f>
        <v>1.4662999999999999</v>
      </c>
      <c r="J9" s="369">
        <f>D9</f>
        <v>8.604000000000001</v>
      </c>
      <c r="K9" s="366" t="s">
        <v>503</v>
      </c>
      <c r="L9" s="343" t="s">
        <v>707</v>
      </c>
      <c r="M9" s="367" t="s">
        <v>708</v>
      </c>
    </row>
    <row r="10" spans="1:13" ht="15" customHeight="1" x14ac:dyDescent="0.25">
      <c r="A10" s="239" t="s">
        <v>301</v>
      </c>
      <c r="B10" s="294">
        <f>B48</f>
        <v>0.01</v>
      </c>
      <c r="C10" s="294"/>
      <c r="D10" s="273"/>
      <c r="E10" s="289" t="s">
        <v>299</v>
      </c>
      <c r="G10" s="426" t="s">
        <v>496</v>
      </c>
      <c r="H10" s="307">
        <f>B9*$H$16</f>
        <v>10.275816326530613</v>
      </c>
      <c r="I10" s="307">
        <f>C9*$H$16</f>
        <v>2.9924489795918365</v>
      </c>
      <c r="J10" s="307">
        <f>D9*$H$16</f>
        <v>17.559183673469391</v>
      </c>
      <c r="K10" s="289" t="s">
        <v>270</v>
      </c>
      <c r="L10" s="305" t="s">
        <v>707</v>
      </c>
      <c r="M10" s="325" t="s">
        <v>708</v>
      </c>
    </row>
    <row r="11" spans="1:13" ht="15" customHeight="1" x14ac:dyDescent="0.25">
      <c r="A11" s="239" t="s">
        <v>272</v>
      </c>
      <c r="B11" s="294">
        <f>B50</f>
        <v>0.5</v>
      </c>
      <c r="C11" s="294"/>
      <c r="D11" s="273"/>
      <c r="E11" s="289" t="s">
        <v>42</v>
      </c>
      <c r="G11" s="345" t="s">
        <v>504</v>
      </c>
      <c r="H11" s="369">
        <f>B10</f>
        <v>0.01</v>
      </c>
      <c r="I11" s="366"/>
      <c r="J11" s="366"/>
      <c r="K11" s="366" t="s">
        <v>505</v>
      </c>
      <c r="L11" s="343">
        <v>8</v>
      </c>
      <c r="M11" s="367"/>
    </row>
    <row r="12" spans="1:13" ht="15" customHeight="1" x14ac:dyDescent="0.25">
      <c r="A12" s="265" t="s">
        <v>369</v>
      </c>
      <c r="B12" s="266"/>
      <c r="C12" s="290"/>
      <c r="D12" s="290"/>
      <c r="E12" s="290"/>
      <c r="G12" s="426" t="s">
        <v>497</v>
      </c>
      <c r="H12" s="307">
        <f>B10*$H$16</f>
        <v>2.0408163265306124E-2</v>
      </c>
      <c r="I12" s="307"/>
      <c r="J12" s="273"/>
      <c r="K12" s="289" t="s">
        <v>299</v>
      </c>
      <c r="L12" s="305" t="s">
        <v>707</v>
      </c>
      <c r="M12" s="325"/>
    </row>
    <row r="13" spans="1:13" ht="15" customHeight="1" x14ac:dyDescent="0.25">
      <c r="A13" s="241" t="s">
        <v>307</v>
      </c>
      <c r="B13" s="274">
        <v>1</v>
      </c>
      <c r="C13" s="290"/>
      <c r="D13" s="290"/>
      <c r="E13" s="260" t="s">
        <v>42</v>
      </c>
      <c r="G13" s="345" t="s">
        <v>507</v>
      </c>
      <c r="H13" s="369">
        <f>B11</f>
        <v>0.5</v>
      </c>
      <c r="I13" s="366"/>
      <c r="J13" s="366"/>
      <c r="K13" s="366" t="s">
        <v>509</v>
      </c>
      <c r="L13" s="343">
        <v>8</v>
      </c>
      <c r="M13" s="367"/>
    </row>
    <row r="14" spans="1:13" ht="15" customHeight="1" x14ac:dyDescent="0.25">
      <c r="A14" s="435" t="s">
        <v>308</v>
      </c>
      <c r="B14" s="436">
        <f t="shared" ref="B14:B35" si="0">B52</f>
        <v>1.54</v>
      </c>
      <c r="C14" s="416"/>
      <c r="D14" s="416"/>
      <c r="E14" s="408" t="s">
        <v>270</v>
      </c>
      <c r="G14" s="426" t="s">
        <v>498</v>
      </c>
      <c r="H14" s="307">
        <f>B11*$H$16</f>
        <v>1.0204081632653061</v>
      </c>
      <c r="I14" s="307"/>
      <c r="J14" s="273"/>
      <c r="K14" s="289" t="s">
        <v>42</v>
      </c>
      <c r="L14" s="305" t="s">
        <v>707</v>
      </c>
      <c r="M14" s="325"/>
    </row>
    <row r="15" spans="1:13" ht="18" x14ac:dyDescent="0.25">
      <c r="A15" s="435" t="s">
        <v>309</v>
      </c>
      <c r="B15" s="436">
        <f t="shared" si="0"/>
        <v>2.0599999999999999E-4</v>
      </c>
      <c r="C15" s="416"/>
      <c r="D15" s="416"/>
      <c r="E15" s="408" t="s">
        <v>42</v>
      </c>
      <c r="G15" s="341" t="s">
        <v>369</v>
      </c>
      <c r="H15" s="342"/>
      <c r="I15" s="343"/>
      <c r="J15" s="343"/>
      <c r="K15" s="343"/>
      <c r="L15" s="343"/>
      <c r="M15" s="367"/>
    </row>
    <row r="16" spans="1:13" x14ac:dyDescent="0.25">
      <c r="A16" s="435" t="s">
        <v>310</v>
      </c>
      <c r="B16" s="436">
        <f t="shared" si="0"/>
        <v>1.9300000000000001E-8</v>
      </c>
      <c r="C16" s="416"/>
      <c r="D16" s="416"/>
      <c r="E16" s="408" t="s">
        <v>42</v>
      </c>
      <c r="G16" s="434" t="s">
        <v>307</v>
      </c>
      <c r="H16" s="274">
        <f>'Grinding and Slicing'!B35</f>
        <v>2.0408163265306123</v>
      </c>
      <c r="I16" s="305"/>
      <c r="J16" s="305"/>
      <c r="K16" s="260" t="s">
        <v>42</v>
      </c>
      <c r="L16" s="305" t="s">
        <v>680</v>
      </c>
      <c r="M16" s="325"/>
    </row>
    <row r="17" spans="1:13" x14ac:dyDescent="0.25">
      <c r="A17" s="435" t="s">
        <v>311</v>
      </c>
      <c r="B17" s="436">
        <f t="shared" si="0"/>
        <v>2.5200000000000001E-8</v>
      </c>
      <c r="C17" s="416"/>
      <c r="D17" s="416"/>
      <c r="E17" s="408" t="s">
        <v>42</v>
      </c>
      <c r="G17" s="437" t="s">
        <v>499</v>
      </c>
      <c r="H17" s="307">
        <f t="shared" ref="H17:H38" si="1">B14*$H$16</f>
        <v>3.1428571428571428</v>
      </c>
      <c r="I17" s="305"/>
      <c r="J17" s="305"/>
      <c r="K17" s="289" t="s">
        <v>270</v>
      </c>
      <c r="L17" s="305">
        <v>8</v>
      </c>
      <c r="M17" s="325"/>
    </row>
    <row r="18" spans="1:13" x14ac:dyDescent="0.25">
      <c r="A18" s="435" t="s">
        <v>312</v>
      </c>
      <c r="B18" s="436">
        <f t="shared" si="0"/>
        <v>7.6599999999999998E-8</v>
      </c>
      <c r="C18" s="416"/>
      <c r="D18" s="416"/>
      <c r="E18" s="408" t="s">
        <v>42</v>
      </c>
      <c r="G18" s="437" t="s">
        <v>426</v>
      </c>
      <c r="H18" s="307">
        <f t="shared" si="1"/>
        <v>4.204081632653061E-4</v>
      </c>
      <c r="I18" s="305"/>
      <c r="J18" s="305"/>
      <c r="K18" s="289" t="s">
        <v>42</v>
      </c>
      <c r="L18" s="305">
        <v>8</v>
      </c>
      <c r="M18" s="325"/>
    </row>
    <row r="19" spans="1:13" x14ac:dyDescent="0.25">
      <c r="A19" s="435" t="s">
        <v>313</v>
      </c>
      <c r="B19" s="436">
        <f t="shared" si="0"/>
        <v>7.5699999999999996E-8</v>
      </c>
      <c r="C19" s="416"/>
      <c r="D19" s="416"/>
      <c r="E19" s="408" t="s">
        <v>42</v>
      </c>
      <c r="G19" s="437" t="s">
        <v>310</v>
      </c>
      <c r="H19" s="307">
        <f t="shared" si="1"/>
        <v>3.9387755102040821E-8</v>
      </c>
      <c r="I19" s="305"/>
      <c r="J19" s="305"/>
      <c r="K19" s="289" t="s">
        <v>42</v>
      </c>
      <c r="L19" s="305">
        <v>8</v>
      </c>
      <c r="M19" s="325"/>
    </row>
    <row r="20" spans="1:13" x14ac:dyDescent="0.25">
      <c r="A20" s="435" t="s">
        <v>314</v>
      </c>
      <c r="B20" s="436">
        <f t="shared" si="0"/>
        <v>1.9299999999999999E-7</v>
      </c>
      <c r="C20" s="416"/>
      <c r="D20" s="416"/>
      <c r="E20" s="408" t="s">
        <v>42</v>
      </c>
      <c r="G20" s="437" t="s">
        <v>311</v>
      </c>
      <c r="H20" s="307">
        <f t="shared" si="1"/>
        <v>5.142857142857143E-8</v>
      </c>
      <c r="I20" s="305"/>
      <c r="J20" s="305"/>
      <c r="K20" s="289" t="s">
        <v>42</v>
      </c>
      <c r="L20" s="305">
        <v>8</v>
      </c>
      <c r="M20" s="325"/>
    </row>
    <row r="21" spans="1:13" x14ac:dyDescent="0.25">
      <c r="A21" s="435" t="s">
        <v>315</v>
      </c>
      <c r="B21" s="436">
        <f t="shared" si="0"/>
        <v>1.9300000000000001E-8</v>
      </c>
      <c r="C21" s="416"/>
      <c r="D21" s="416"/>
      <c r="E21" s="408" t="s">
        <v>42</v>
      </c>
      <c r="G21" s="437" t="s">
        <v>312</v>
      </c>
      <c r="H21" s="307">
        <f t="shared" si="1"/>
        <v>1.563265306122449E-7</v>
      </c>
      <c r="I21" s="305"/>
      <c r="J21" s="305"/>
      <c r="K21" s="289" t="s">
        <v>42</v>
      </c>
      <c r="L21" s="305">
        <v>8</v>
      </c>
      <c r="M21" s="325"/>
    </row>
    <row r="22" spans="1:13" x14ac:dyDescent="0.25">
      <c r="A22" s="435" t="s">
        <v>316</v>
      </c>
      <c r="B22" s="436">
        <f t="shared" si="0"/>
        <v>3.23E-6</v>
      </c>
      <c r="C22" s="416"/>
      <c r="D22" s="416"/>
      <c r="E22" s="408" t="s">
        <v>42</v>
      </c>
      <c r="G22" s="437" t="s">
        <v>313</v>
      </c>
      <c r="H22" s="307">
        <f t="shared" si="1"/>
        <v>1.5448979591836734E-7</v>
      </c>
      <c r="I22" s="305"/>
      <c r="J22" s="305"/>
      <c r="K22" s="289" t="s">
        <v>42</v>
      </c>
      <c r="L22" s="305">
        <v>8</v>
      </c>
      <c r="M22" s="325"/>
    </row>
    <row r="23" spans="1:13" x14ac:dyDescent="0.25">
      <c r="A23" s="435" t="s">
        <v>317</v>
      </c>
      <c r="B23" s="436">
        <f t="shared" si="0"/>
        <v>1.6000000000000001E-8</v>
      </c>
      <c r="C23" s="416"/>
      <c r="D23" s="416"/>
      <c r="E23" s="408" t="s">
        <v>42</v>
      </c>
      <c r="G23" s="437" t="s">
        <v>314</v>
      </c>
      <c r="H23" s="307">
        <f t="shared" si="1"/>
        <v>3.9387755102040813E-7</v>
      </c>
      <c r="I23" s="305"/>
      <c r="J23" s="305"/>
      <c r="K23" s="289" t="s">
        <v>42</v>
      </c>
      <c r="L23" s="305">
        <v>8</v>
      </c>
      <c r="M23" s="325"/>
    </row>
    <row r="24" spans="1:13" x14ac:dyDescent="0.25">
      <c r="A24" s="435" t="s">
        <v>318</v>
      </c>
      <c r="B24" s="436">
        <f t="shared" si="0"/>
        <v>1.15E-8</v>
      </c>
      <c r="C24" s="416"/>
      <c r="D24" s="416"/>
      <c r="E24" s="408" t="s">
        <v>42</v>
      </c>
      <c r="G24" s="437" t="s">
        <v>315</v>
      </c>
      <c r="H24" s="307">
        <f t="shared" si="1"/>
        <v>3.9387755102040821E-8</v>
      </c>
      <c r="I24" s="305"/>
      <c r="J24" s="305"/>
      <c r="K24" s="289" t="s">
        <v>42</v>
      </c>
      <c r="L24" s="305">
        <v>8</v>
      </c>
      <c r="M24" s="325"/>
    </row>
    <row r="25" spans="1:13" x14ac:dyDescent="0.25">
      <c r="A25" s="435" t="s">
        <v>319</v>
      </c>
      <c r="B25" s="436">
        <f t="shared" si="0"/>
        <v>8.2600000000000001E-7</v>
      </c>
      <c r="C25" s="416"/>
      <c r="D25" s="416"/>
      <c r="E25" s="408" t="s">
        <v>42</v>
      </c>
      <c r="G25" s="437" t="s">
        <v>316</v>
      </c>
      <c r="H25" s="307">
        <f t="shared" si="1"/>
        <v>6.5918367346938773E-6</v>
      </c>
      <c r="I25" s="305"/>
      <c r="J25" s="305"/>
      <c r="K25" s="289" t="s">
        <v>42</v>
      </c>
      <c r="L25" s="305">
        <v>8</v>
      </c>
      <c r="M25" s="325"/>
    </row>
    <row r="26" spans="1:13" x14ac:dyDescent="0.25">
      <c r="A26" s="435" t="s">
        <v>320</v>
      </c>
      <c r="B26" s="436">
        <f t="shared" si="0"/>
        <v>3.7599999999999999E-5</v>
      </c>
      <c r="C26" s="416"/>
      <c r="D26" s="416"/>
      <c r="E26" s="408" t="s">
        <v>42</v>
      </c>
      <c r="G26" s="437" t="s">
        <v>317</v>
      </c>
      <c r="H26" s="307">
        <f t="shared" si="1"/>
        <v>3.2653061224489801E-8</v>
      </c>
      <c r="I26" s="305"/>
      <c r="J26" s="305"/>
      <c r="K26" s="289" t="s">
        <v>42</v>
      </c>
      <c r="L26" s="305">
        <v>8</v>
      </c>
      <c r="M26" s="325"/>
    </row>
    <row r="27" spans="1:13" x14ac:dyDescent="0.25">
      <c r="A27" s="435" t="s">
        <v>321</v>
      </c>
      <c r="B27" s="436">
        <f t="shared" si="0"/>
        <v>2.2500000000000001E-6</v>
      </c>
      <c r="C27" s="416"/>
      <c r="D27" s="416"/>
      <c r="E27" s="408" t="s">
        <v>42</v>
      </c>
      <c r="G27" s="437" t="s">
        <v>318</v>
      </c>
      <c r="H27" s="307">
        <f t="shared" si="1"/>
        <v>2.3469387755102044E-8</v>
      </c>
      <c r="I27" s="305"/>
      <c r="J27" s="305"/>
      <c r="K27" s="289" t="s">
        <v>42</v>
      </c>
      <c r="L27" s="305">
        <v>8</v>
      </c>
      <c r="M27" s="325"/>
    </row>
    <row r="28" spans="1:13" x14ac:dyDescent="0.25">
      <c r="A28" s="435" t="s">
        <v>322</v>
      </c>
      <c r="B28" s="436">
        <f t="shared" si="0"/>
        <v>5.2700000000000002E-4</v>
      </c>
      <c r="C28" s="416"/>
      <c r="D28" s="416"/>
      <c r="E28" s="408" t="s">
        <v>42</v>
      </c>
      <c r="G28" s="437" t="s">
        <v>319</v>
      </c>
      <c r="H28" s="307">
        <f t="shared" si="1"/>
        <v>1.6857142857142858E-6</v>
      </c>
      <c r="I28" s="305"/>
      <c r="J28" s="305"/>
      <c r="K28" s="289" t="s">
        <v>42</v>
      </c>
      <c r="L28" s="305">
        <v>8</v>
      </c>
      <c r="M28" s="325"/>
    </row>
    <row r="29" spans="1:13" x14ac:dyDescent="0.25">
      <c r="A29" s="435" t="s">
        <v>323</v>
      </c>
      <c r="B29" s="436">
        <f t="shared" si="0"/>
        <v>1.2600000000000001E-3</v>
      </c>
      <c r="C29" s="416"/>
      <c r="D29" s="416"/>
      <c r="E29" s="408" t="s">
        <v>42</v>
      </c>
      <c r="G29" s="437" t="s">
        <v>320</v>
      </c>
      <c r="H29" s="307">
        <f t="shared" si="1"/>
        <v>7.6734693877551026E-5</v>
      </c>
      <c r="I29" s="305"/>
      <c r="J29" s="305"/>
      <c r="K29" s="289" t="s">
        <v>42</v>
      </c>
      <c r="L29" s="305">
        <v>8</v>
      </c>
      <c r="M29" s="325"/>
    </row>
    <row r="30" spans="1:13" x14ac:dyDescent="0.25">
      <c r="A30" s="435" t="s">
        <v>324</v>
      </c>
      <c r="B30" s="436">
        <f t="shared" si="0"/>
        <v>2.5700000000000001E-2</v>
      </c>
      <c r="C30" s="416"/>
      <c r="D30" s="416"/>
      <c r="E30" s="408" t="s">
        <v>42</v>
      </c>
      <c r="G30" s="437" t="s">
        <v>321</v>
      </c>
      <c r="H30" s="307">
        <f t="shared" si="1"/>
        <v>4.5918367346938778E-6</v>
      </c>
      <c r="I30" s="305"/>
      <c r="J30" s="305"/>
      <c r="K30" s="289" t="s">
        <v>42</v>
      </c>
      <c r="L30" s="305">
        <v>8</v>
      </c>
      <c r="M30" s="325"/>
    </row>
    <row r="31" spans="1:13" x14ac:dyDescent="0.25">
      <c r="A31" s="435" t="s">
        <v>325</v>
      </c>
      <c r="B31" s="436">
        <f t="shared" si="0"/>
        <v>0.20399999999999999</v>
      </c>
      <c r="C31" s="416"/>
      <c r="D31" s="416"/>
      <c r="E31" s="408" t="s">
        <v>42</v>
      </c>
      <c r="G31" s="437" t="s">
        <v>322</v>
      </c>
      <c r="H31" s="307">
        <f t="shared" si="1"/>
        <v>1.0755102040816327E-3</v>
      </c>
      <c r="I31" s="305"/>
      <c r="J31" s="305"/>
      <c r="K31" s="289" t="s">
        <v>42</v>
      </c>
      <c r="L31" s="305">
        <v>8</v>
      </c>
      <c r="M31" s="325"/>
    </row>
    <row r="32" spans="1:13" x14ac:dyDescent="0.25">
      <c r="A32" s="435" t="s">
        <v>326</v>
      </c>
      <c r="B32" s="436">
        <f t="shared" si="0"/>
        <v>1.3799999999999999E-4</v>
      </c>
      <c r="C32" s="416"/>
      <c r="D32" s="416"/>
      <c r="E32" s="408" t="s">
        <v>42</v>
      </c>
      <c r="G32" s="437" t="s">
        <v>323</v>
      </c>
      <c r="H32" s="307">
        <f t="shared" si="1"/>
        <v>2.5714285714285717E-3</v>
      </c>
      <c r="I32" s="305"/>
      <c r="J32" s="305"/>
      <c r="K32" s="289" t="s">
        <v>42</v>
      </c>
      <c r="L32" s="305">
        <v>8</v>
      </c>
      <c r="M32" s="325"/>
    </row>
    <row r="33" spans="1:13" x14ac:dyDescent="0.25">
      <c r="A33" s="435" t="s">
        <v>327</v>
      </c>
      <c r="B33" s="436">
        <f t="shared" si="0"/>
        <v>4.7200000000000002E-10</v>
      </c>
      <c r="C33" s="416"/>
      <c r="D33" s="416"/>
      <c r="E33" s="408" t="s">
        <v>42</v>
      </c>
      <c r="G33" s="437" t="s">
        <v>324</v>
      </c>
      <c r="H33" s="307">
        <f t="shared" si="1"/>
        <v>5.2448979591836739E-2</v>
      </c>
      <c r="I33" s="305"/>
      <c r="J33" s="305"/>
      <c r="K33" s="289" t="s">
        <v>42</v>
      </c>
      <c r="L33" s="305">
        <v>8</v>
      </c>
      <c r="M33" s="325"/>
    </row>
    <row r="34" spans="1:13" x14ac:dyDescent="0.25">
      <c r="A34" s="435" t="s">
        <v>328</v>
      </c>
      <c r="B34" s="436">
        <f t="shared" si="0"/>
        <v>6.4199999999999997E-12</v>
      </c>
      <c r="C34" s="416"/>
      <c r="D34" s="416"/>
      <c r="E34" s="408" t="s">
        <v>42</v>
      </c>
      <c r="G34" s="437" t="s">
        <v>325</v>
      </c>
      <c r="H34" s="307">
        <f t="shared" si="1"/>
        <v>0.41632653061224489</v>
      </c>
      <c r="I34" s="305"/>
      <c r="J34" s="305"/>
      <c r="K34" s="289" t="s">
        <v>42</v>
      </c>
      <c r="L34" s="305">
        <v>8</v>
      </c>
      <c r="M34" s="325"/>
    </row>
    <row r="35" spans="1:13" x14ac:dyDescent="0.25">
      <c r="A35" s="435" t="s">
        <v>329</v>
      </c>
      <c r="B35" s="436">
        <f t="shared" si="0"/>
        <v>7.0000000000000001E-12</v>
      </c>
      <c r="C35" s="416"/>
      <c r="D35" s="416"/>
      <c r="E35" s="408" t="s">
        <v>42</v>
      </c>
      <c r="G35" s="437" t="s">
        <v>326</v>
      </c>
      <c r="H35" s="307">
        <f t="shared" si="1"/>
        <v>2.8163265306122449E-4</v>
      </c>
      <c r="I35" s="305"/>
      <c r="J35" s="305"/>
      <c r="K35" s="289" t="s">
        <v>42</v>
      </c>
      <c r="L35" s="305">
        <v>8</v>
      </c>
      <c r="M35" s="325"/>
    </row>
    <row r="36" spans="1:13" x14ac:dyDescent="0.25">
      <c r="G36" s="437" t="s">
        <v>327</v>
      </c>
      <c r="H36" s="307">
        <f t="shared" si="1"/>
        <v>9.6326530612244914E-10</v>
      </c>
      <c r="I36" s="305"/>
      <c r="J36" s="305"/>
      <c r="K36" s="289" t="s">
        <v>42</v>
      </c>
      <c r="L36" s="305">
        <v>8</v>
      </c>
      <c r="M36" s="325"/>
    </row>
    <row r="37" spans="1:13" x14ac:dyDescent="0.25">
      <c r="G37" s="437" t="s">
        <v>328</v>
      </c>
      <c r="H37" s="307">
        <f t="shared" si="1"/>
        <v>1.310204081632653E-11</v>
      </c>
      <c r="I37" s="305"/>
      <c r="J37" s="305"/>
      <c r="K37" s="289" t="s">
        <v>42</v>
      </c>
      <c r="L37" s="305">
        <v>8</v>
      </c>
      <c r="M37" s="325"/>
    </row>
    <row r="38" spans="1:13" ht="15.75" thickBot="1" x14ac:dyDescent="0.3">
      <c r="A38" s="295" t="s">
        <v>330</v>
      </c>
      <c r="G38" s="438" t="s">
        <v>427</v>
      </c>
      <c r="H38" s="311">
        <f t="shared" si="1"/>
        <v>1.4285714285714286E-11</v>
      </c>
      <c r="I38" s="314"/>
      <c r="J38" s="314"/>
      <c r="K38" s="439" t="s">
        <v>42</v>
      </c>
      <c r="L38" s="314">
        <v>8</v>
      </c>
      <c r="M38" s="432"/>
    </row>
    <row r="39" spans="1:13" x14ac:dyDescent="0.25">
      <c r="A39" s="286" t="s">
        <v>78</v>
      </c>
      <c r="B39" s="286" t="s">
        <v>63</v>
      </c>
      <c r="C39" s="286" t="s">
        <v>331</v>
      </c>
      <c r="D39" s="286" t="s">
        <v>243</v>
      </c>
      <c r="E39" s="261" t="s">
        <v>22</v>
      </c>
    </row>
    <row r="40" spans="1:13" x14ac:dyDescent="0.25">
      <c r="A40">
        <v>2.4</v>
      </c>
      <c r="B40" t="s">
        <v>299</v>
      </c>
      <c r="C40" t="s">
        <v>680</v>
      </c>
      <c r="D40" s="296" t="s">
        <v>703</v>
      </c>
      <c r="E40" t="s">
        <v>704</v>
      </c>
    </row>
    <row r="41" spans="1:13" x14ac:dyDescent="0.25">
      <c r="A41" s="297">
        <f>A40-B48</f>
        <v>2.39</v>
      </c>
      <c r="B41" t="s">
        <v>332</v>
      </c>
      <c r="C41" t="s">
        <v>707</v>
      </c>
      <c r="D41" s="296" t="s">
        <v>702</v>
      </c>
      <c r="E41" t="s">
        <v>705</v>
      </c>
    </row>
    <row r="42" spans="1:13" x14ac:dyDescent="0.25">
      <c r="A42">
        <f>CONVERT(A41,"kwh","MJ")</f>
        <v>8.604000000000001</v>
      </c>
      <c r="B42" t="s">
        <v>270</v>
      </c>
      <c r="C42" t="s">
        <v>707</v>
      </c>
      <c r="D42" t="s">
        <v>333</v>
      </c>
    </row>
    <row r="44" spans="1:13" x14ac:dyDescent="0.25">
      <c r="A44" s="261" t="s">
        <v>334</v>
      </c>
      <c r="B44" s="261" t="s">
        <v>78</v>
      </c>
      <c r="C44" s="261" t="s">
        <v>63</v>
      </c>
      <c r="D44" s="286" t="s">
        <v>331</v>
      </c>
      <c r="E44" s="286" t="s">
        <v>243</v>
      </c>
      <c r="I44" s="261"/>
    </row>
    <row r="45" spans="1:13" x14ac:dyDescent="0.25">
      <c r="A45" t="s">
        <v>335</v>
      </c>
      <c r="B45" s="298">
        <v>1.43</v>
      </c>
      <c r="C45" s="291" t="s">
        <v>270</v>
      </c>
      <c r="D45" s="291">
        <v>8</v>
      </c>
      <c r="E45" s="297"/>
    </row>
    <row r="46" spans="1:13" x14ac:dyDescent="0.25">
      <c r="A46" t="s">
        <v>337</v>
      </c>
      <c r="B46" s="298">
        <f>0.0363</f>
        <v>3.6299999999999999E-2</v>
      </c>
      <c r="C46" s="291" t="s">
        <v>270</v>
      </c>
      <c r="D46" s="291">
        <v>8</v>
      </c>
    </row>
    <row r="47" spans="1:13" x14ac:dyDescent="0.25">
      <c r="A47" t="s">
        <v>269</v>
      </c>
      <c r="B47" s="298">
        <f>SUM(B45,B46)</f>
        <v>1.4662999999999999</v>
      </c>
      <c r="C47" s="291" t="s">
        <v>270</v>
      </c>
      <c r="D47" s="291">
        <v>8</v>
      </c>
    </row>
    <row r="48" spans="1:13" x14ac:dyDescent="0.25">
      <c r="A48" t="s">
        <v>301</v>
      </c>
      <c r="B48" s="298">
        <f>0.01</f>
        <v>0.01</v>
      </c>
      <c r="C48" s="291" t="s">
        <v>299</v>
      </c>
      <c r="D48" s="291">
        <v>8</v>
      </c>
    </row>
    <row r="49" spans="1:5" x14ac:dyDescent="0.25">
      <c r="A49" t="s">
        <v>272</v>
      </c>
      <c r="B49" s="298">
        <f>0.0005</f>
        <v>5.0000000000000001E-4</v>
      </c>
      <c r="C49" s="291" t="s">
        <v>338</v>
      </c>
      <c r="D49" s="291">
        <v>8</v>
      </c>
      <c r="E49" s="297"/>
    </row>
    <row r="50" spans="1:5" x14ac:dyDescent="0.25">
      <c r="A50" t="s">
        <v>272</v>
      </c>
      <c r="B50" s="298">
        <f>B49*Conversions!D4</f>
        <v>0.5</v>
      </c>
      <c r="C50" s="291" t="s">
        <v>42</v>
      </c>
      <c r="D50" s="291">
        <v>8</v>
      </c>
    </row>
    <row r="51" spans="1:5" x14ac:dyDescent="0.25">
      <c r="A51" s="261" t="s">
        <v>339</v>
      </c>
      <c r="B51" s="261" t="s">
        <v>78</v>
      </c>
      <c r="C51" s="261" t="s">
        <v>63</v>
      </c>
      <c r="D51" s="286" t="s">
        <v>331</v>
      </c>
    </row>
    <row r="52" spans="1:5" x14ac:dyDescent="0.25">
      <c r="A52" t="s">
        <v>308</v>
      </c>
      <c r="B52" s="298">
        <v>1.54</v>
      </c>
      <c r="C52" s="291" t="s">
        <v>270</v>
      </c>
      <c r="D52" s="291">
        <v>8</v>
      </c>
    </row>
    <row r="53" spans="1:5" x14ac:dyDescent="0.25">
      <c r="A53" t="s">
        <v>309</v>
      </c>
      <c r="B53" s="298">
        <f>0.000206</f>
        <v>2.0599999999999999E-4</v>
      </c>
      <c r="C53" s="291" t="s">
        <v>42</v>
      </c>
      <c r="D53" s="291">
        <v>8</v>
      </c>
    </row>
    <row r="54" spans="1:5" x14ac:dyDescent="0.25">
      <c r="A54" t="s">
        <v>310</v>
      </c>
      <c r="B54" s="298">
        <f>0.0000000193</f>
        <v>1.9300000000000001E-8</v>
      </c>
      <c r="C54" s="291" t="s">
        <v>42</v>
      </c>
      <c r="D54" s="291">
        <v>8</v>
      </c>
    </row>
    <row r="55" spans="1:5" x14ac:dyDescent="0.25">
      <c r="A55" t="s">
        <v>311</v>
      </c>
      <c r="B55" s="298">
        <f>0.0000000252</f>
        <v>2.5200000000000001E-8</v>
      </c>
      <c r="C55" s="291" t="s">
        <v>42</v>
      </c>
      <c r="D55" s="291">
        <v>8</v>
      </c>
    </row>
    <row r="56" spans="1:5" x14ac:dyDescent="0.25">
      <c r="A56" t="s">
        <v>312</v>
      </c>
      <c r="B56" s="298">
        <f>0.0000000766</f>
        <v>7.6599999999999998E-8</v>
      </c>
      <c r="C56" s="291" t="s">
        <v>42</v>
      </c>
      <c r="D56" s="291">
        <v>8</v>
      </c>
    </row>
    <row r="57" spans="1:5" x14ac:dyDescent="0.25">
      <c r="A57" t="s">
        <v>313</v>
      </c>
      <c r="B57" s="298">
        <f>0.0000000757</f>
        <v>7.5699999999999996E-8</v>
      </c>
      <c r="C57" s="291" t="s">
        <v>42</v>
      </c>
      <c r="D57" s="291">
        <v>8</v>
      </c>
    </row>
    <row r="58" spans="1:5" x14ac:dyDescent="0.25">
      <c r="A58" t="s">
        <v>314</v>
      </c>
      <c r="B58" s="298">
        <f>0.000000193</f>
        <v>1.9299999999999999E-7</v>
      </c>
      <c r="C58" s="291" t="s">
        <v>42</v>
      </c>
      <c r="D58" s="291">
        <v>8</v>
      </c>
    </row>
    <row r="59" spans="1:5" x14ac:dyDescent="0.25">
      <c r="A59" t="s">
        <v>315</v>
      </c>
      <c r="B59" s="298">
        <f>0.0000000193</f>
        <v>1.9300000000000001E-8</v>
      </c>
      <c r="C59" s="291" t="s">
        <v>42</v>
      </c>
      <c r="D59" s="291">
        <v>8</v>
      </c>
    </row>
    <row r="60" spans="1:5" x14ac:dyDescent="0.25">
      <c r="A60" t="s">
        <v>316</v>
      </c>
      <c r="B60" s="298">
        <f>0.00000323</f>
        <v>3.23E-6</v>
      </c>
      <c r="C60" s="291" t="s">
        <v>42</v>
      </c>
      <c r="D60" s="291">
        <v>8</v>
      </c>
    </row>
    <row r="61" spans="1:5" x14ac:dyDescent="0.25">
      <c r="A61" t="s">
        <v>317</v>
      </c>
      <c r="B61" s="298">
        <f>0.000000016</f>
        <v>1.6000000000000001E-8</v>
      </c>
      <c r="C61" s="291" t="s">
        <v>42</v>
      </c>
      <c r="D61" s="291">
        <v>8</v>
      </c>
    </row>
    <row r="62" spans="1:5" x14ac:dyDescent="0.25">
      <c r="A62" t="s">
        <v>318</v>
      </c>
      <c r="B62" s="298">
        <f>0.0000000115</f>
        <v>1.15E-8</v>
      </c>
      <c r="C62" s="291" t="s">
        <v>42</v>
      </c>
      <c r="D62" s="291">
        <v>8</v>
      </c>
    </row>
    <row r="63" spans="1:5" x14ac:dyDescent="0.25">
      <c r="A63" t="s">
        <v>319</v>
      </c>
      <c r="B63" s="298">
        <f>0.000000826</f>
        <v>8.2600000000000001E-7</v>
      </c>
      <c r="C63" s="291" t="s">
        <v>42</v>
      </c>
      <c r="D63" s="291">
        <v>8</v>
      </c>
    </row>
    <row r="64" spans="1:5" x14ac:dyDescent="0.25">
      <c r="A64" t="s">
        <v>320</v>
      </c>
      <c r="B64" s="298">
        <f>0.0000376</f>
        <v>3.7599999999999999E-5</v>
      </c>
      <c r="C64" s="291" t="s">
        <v>42</v>
      </c>
      <c r="D64" s="291">
        <v>8</v>
      </c>
    </row>
    <row r="65" spans="1:4" x14ac:dyDescent="0.25">
      <c r="A65" t="s">
        <v>321</v>
      </c>
      <c r="B65" s="298">
        <f>0.00000225</f>
        <v>2.2500000000000001E-6</v>
      </c>
      <c r="C65" s="291" t="s">
        <v>42</v>
      </c>
      <c r="D65" s="291">
        <v>8</v>
      </c>
    </row>
    <row r="66" spans="1:4" x14ac:dyDescent="0.25">
      <c r="A66" t="s">
        <v>322</v>
      </c>
      <c r="B66" s="298">
        <f>0.000527</f>
        <v>5.2700000000000002E-4</v>
      </c>
      <c r="C66" s="291" t="s">
        <v>42</v>
      </c>
      <c r="D66" s="291">
        <v>8</v>
      </c>
    </row>
    <row r="67" spans="1:4" x14ac:dyDescent="0.25">
      <c r="A67" t="s">
        <v>323</v>
      </c>
      <c r="B67" s="298">
        <f>0.00126</f>
        <v>1.2600000000000001E-3</v>
      </c>
      <c r="C67" s="291" t="s">
        <v>42</v>
      </c>
      <c r="D67" s="291">
        <v>8</v>
      </c>
    </row>
    <row r="68" spans="1:4" x14ac:dyDescent="0.25">
      <c r="A68" t="s">
        <v>324</v>
      </c>
      <c r="B68" s="298">
        <f>0.0257</f>
        <v>2.5700000000000001E-2</v>
      </c>
      <c r="C68" s="291" t="s">
        <v>42</v>
      </c>
      <c r="D68" s="291">
        <v>8</v>
      </c>
    </row>
    <row r="69" spans="1:4" x14ac:dyDescent="0.25">
      <c r="A69" t="s">
        <v>325</v>
      </c>
      <c r="B69" s="298">
        <f>0.204</f>
        <v>0.20399999999999999</v>
      </c>
      <c r="C69" s="291" t="s">
        <v>42</v>
      </c>
      <c r="D69" s="291">
        <v>8</v>
      </c>
    </row>
    <row r="70" spans="1:4" x14ac:dyDescent="0.25">
      <c r="A70" t="s">
        <v>326</v>
      </c>
      <c r="B70" s="298">
        <f>0.000138</f>
        <v>1.3799999999999999E-4</v>
      </c>
      <c r="C70" s="291" t="s">
        <v>42</v>
      </c>
      <c r="D70" s="291">
        <v>8</v>
      </c>
    </row>
    <row r="71" spans="1:4" x14ac:dyDescent="0.25">
      <c r="A71" t="s">
        <v>327</v>
      </c>
      <c r="B71" s="298">
        <f>0.000000000472</f>
        <v>4.7200000000000002E-10</v>
      </c>
      <c r="C71" s="291" t="s">
        <v>42</v>
      </c>
      <c r="D71" s="291">
        <v>8</v>
      </c>
    </row>
    <row r="72" spans="1:4" x14ac:dyDescent="0.25">
      <c r="A72" t="s">
        <v>328</v>
      </c>
      <c r="B72" s="298">
        <f>0.00000000000642</f>
        <v>6.4199999999999997E-12</v>
      </c>
      <c r="C72" s="291" t="s">
        <v>42</v>
      </c>
      <c r="D72" s="291">
        <v>8</v>
      </c>
    </row>
    <row r="73" spans="1:4" x14ac:dyDescent="0.25">
      <c r="A73" t="s">
        <v>427</v>
      </c>
      <c r="B73" s="298">
        <f>0.000000000007</f>
        <v>7.0000000000000001E-12</v>
      </c>
      <c r="C73" s="291" t="s">
        <v>42</v>
      </c>
      <c r="D73" s="291">
        <v>8</v>
      </c>
    </row>
  </sheetData>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40"/>
  <sheetViews>
    <sheetView workbookViewId="0"/>
  </sheetViews>
  <sheetFormatPr defaultRowHeight="15" x14ac:dyDescent="0.25"/>
  <cols>
    <col min="1" max="1" width="31.5703125" customWidth="1"/>
    <col min="2" max="2" width="8.5703125" bestFit="1" customWidth="1"/>
    <col min="3" max="3" width="6.140625" bestFit="1" customWidth="1"/>
    <col min="5" max="5" width="42.42578125" customWidth="1"/>
    <col min="6" max="6" width="13.85546875" customWidth="1"/>
    <col min="7" max="7" width="16.140625" customWidth="1"/>
  </cols>
  <sheetData>
    <row r="1" spans="1:8" ht="21" x14ac:dyDescent="0.35">
      <c r="H1" s="237" t="s">
        <v>644</v>
      </c>
    </row>
    <row r="5" spans="1:8" ht="15" customHeight="1" x14ac:dyDescent="0.25">
      <c r="A5" s="238"/>
      <c r="B5" s="292"/>
      <c r="C5" s="292"/>
      <c r="D5" s="292"/>
      <c r="E5" s="292"/>
    </row>
    <row r="6" spans="1:8" ht="15" customHeight="1" x14ac:dyDescent="0.25">
      <c r="A6" s="420"/>
      <c r="B6" s="293"/>
      <c r="E6" s="293"/>
    </row>
    <row r="7" spans="1:8" ht="15" customHeight="1" x14ac:dyDescent="0.25">
      <c r="A7" s="259" t="s">
        <v>242</v>
      </c>
      <c r="B7" s="260" t="s">
        <v>78</v>
      </c>
      <c r="C7" s="293" t="s">
        <v>305</v>
      </c>
      <c r="D7" s="293" t="s">
        <v>306</v>
      </c>
      <c r="E7" s="260" t="s">
        <v>63</v>
      </c>
    </row>
    <row r="8" spans="1:8" ht="15" customHeight="1" x14ac:dyDescent="0.25">
      <c r="A8" s="265" t="s">
        <v>368</v>
      </c>
      <c r="B8" s="266"/>
      <c r="C8" s="266"/>
    </row>
    <row r="9" spans="1:8" ht="15" customHeight="1" x14ac:dyDescent="0.25">
      <c r="A9" s="292" t="s">
        <v>376</v>
      </c>
      <c r="B9" s="299">
        <v>0.3</v>
      </c>
      <c r="C9" s="299">
        <v>0.15</v>
      </c>
      <c r="D9" s="299">
        <v>0.4</v>
      </c>
      <c r="E9" s="290" t="s">
        <v>341</v>
      </c>
    </row>
    <row r="10" spans="1:8" ht="15" customHeight="1" x14ac:dyDescent="0.25">
      <c r="A10" s="292" t="s">
        <v>430</v>
      </c>
      <c r="B10" s="299">
        <v>0.5</v>
      </c>
      <c r="C10" s="299">
        <v>0</v>
      </c>
      <c r="D10" s="299">
        <v>1</v>
      </c>
      <c r="E10" s="290" t="s">
        <v>341</v>
      </c>
    </row>
    <row r="11" spans="1:8" ht="15" customHeight="1" x14ac:dyDescent="0.25">
      <c r="A11" s="239" t="s">
        <v>307</v>
      </c>
      <c r="B11" s="269">
        <v>1</v>
      </c>
      <c r="E11" s="289" t="s">
        <v>42</v>
      </c>
    </row>
    <row r="12" spans="1:8" ht="15" customHeight="1" x14ac:dyDescent="0.25">
      <c r="A12" s="239" t="s">
        <v>301</v>
      </c>
      <c r="B12" s="273">
        <v>1.4</v>
      </c>
      <c r="E12" s="289" t="s">
        <v>299</v>
      </c>
    </row>
    <row r="13" spans="1:8" ht="15" customHeight="1" x14ac:dyDescent="0.25">
      <c r="A13" s="265" t="s">
        <v>369</v>
      </c>
      <c r="B13" s="266"/>
      <c r="E13" s="290"/>
    </row>
    <row r="14" spans="1:8" ht="15" customHeight="1" x14ac:dyDescent="0.25">
      <c r="A14" s="239" t="s">
        <v>342</v>
      </c>
      <c r="B14" s="316">
        <f>B11-(B11*B9)</f>
        <v>0.7</v>
      </c>
      <c r="C14" s="236"/>
      <c r="D14" s="257"/>
      <c r="E14" s="317" t="s">
        <v>42</v>
      </c>
      <c r="F14" s="236"/>
    </row>
    <row r="15" spans="1:8" x14ac:dyDescent="0.25">
      <c r="A15" s="239" t="s">
        <v>343</v>
      </c>
      <c r="B15" s="318">
        <f>B9*B11*B10</f>
        <v>0.15</v>
      </c>
      <c r="C15" s="236"/>
      <c r="D15" s="257"/>
      <c r="E15" s="315" t="s">
        <v>42</v>
      </c>
      <c r="F15" s="236"/>
    </row>
    <row r="16" spans="1:8" x14ac:dyDescent="0.25">
      <c r="A16" s="236"/>
      <c r="B16" s="236"/>
      <c r="C16" s="236"/>
      <c r="D16" s="236"/>
      <c r="E16" s="236"/>
      <c r="F16" s="236"/>
    </row>
    <row r="17" spans="1:7" ht="15.75" x14ac:dyDescent="0.25">
      <c r="A17" s="328" t="s">
        <v>378</v>
      </c>
    </row>
    <row r="18" spans="1:7" x14ac:dyDescent="0.25">
      <c r="A18" s="259" t="s">
        <v>242</v>
      </c>
      <c r="B18" s="260" t="s">
        <v>78</v>
      </c>
      <c r="C18" s="293" t="s">
        <v>305</v>
      </c>
      <c r="D18" s="293" t="s">
        <v>306</v>
      </c>
      <c r="E18" s="260" t="s">
        <v>63</v>
      </c>
    </row>
    <row r="19" spans="1:7" ht="18" x14ac:dyDescent="0.25">
      <c r="A19" s="265" t="s">
        <v>368</v>
      </c>
      <c r="B19" s="266"/>
      <c r="C19" s="266"/>
    </row>
    <row r="20" spans="1:7" x14ac:dyDescent="0.25">
      <c r="A20" s="292" t="s">
        <v>376</v>
      </c>
      <c r="B20" s="299">
        <v>0.3</v>
      </c>
      <c r="C20" s="299">
        <v>0</v>
      </c>
      <c r="D20" s="299">
        <v>0.4</v>
      </c>
      <c r="E20" s="290" t="s">
        <v>341</v>
      </c>
      <c r="G20" s="297"/>
    </row>
    <row r="21" spans="1:7" x14ac:dyDescent="0.25">
      <c r="A21" s="292" t="s">
        <v>430</v>
      </c>
      <c r="B21" s="299">
        <v>0.5</v>
      </c>
      <c r="C21" s="299">
        <v>0</v>
      </c>
      <c r="D21" s="299">
        <v>1</v>
      </c>
      <c r="E21" s="290" t="s">
        <v>341</v>
      </c>
      <c r="G21" s="297"/>
    </row>
    <row r="22" spans="1:7" x14ac:dyDescent="0.25">
      <c r="A22" t="s">
        <v>382</v>
      </c>
      <c r="B22" s="297">
        <f>1-(1*B20)</f>
        <v>0.7</v>
      </c>
      <c r="E22" s="291" t="s">
        <v>381</v>
      </c>
    </row>
    <row r="23" spans="1:7" x14ac:dyDescent="0.25">
      <c r="A23" s="239" t="s">
        <v>307</v>
      </c>
      <c r="B23" s="269">
        <f>B11/B14</f>
        <v>1.4285714285714286</v>
      </c>
      <c r="E23" s="289" t="s">
        <v>42</v>
      </c>
    </row>
    <row r="24" spans="1:7" x14ac:dyDescent="0.25">
      <c r="A24" s="239" t="s">
        <v>301</v>
      </c>
      <c r="B24" s="273">
        <f>B12/B14</f>
        <v>2</v>
      </c>
      <c r="E24" s="289" t="s">
        <v>299</v>
      </c>
    </row>
    <row r="25" spans="1:7" ht="18" x14ac:dyDescent="0.25">
      <c r="A25" s="265" t="s">
        <v>369</v>
      </c>
      <c r="B25" s="266"/>
      <c r="E25" s="290"/>
    </row>
    <row r="26" spans="1:7" x14ac:dyDescent="0.25">
      <c r="A26" s="239" t="s">
        <v>342</v>
      </c>
      <c r="B26" s="316">
        <f>B14/B14</f>
        <v>1</v>
      </c>
      <c r="C26" s="236"/>
      <c r="D26" s="257"/>
      <c r="E26" s="317" t="s">
        <v>42</v>
      </c>
    </row>
    <row r="27" spans="1:7" x14ac:dyDescent="0.25">
      <c r="A27" s="239" t="s">
        <v>343</v>
      </c>
      <c r="B27" s="318">
        <f>B20*B23*B21</f>
        <v>0.21428571428571427</v>
      </c>
      <c r="C27" s="236"/>
      <c r="D27" s="257"/>
      <c r="E27" s="315" t="s">
        <v>42</v>
      </c>
    </row>
    <row r="28" spans="1:7" ht="15.75" thickBot="1" x14ac:dyDescent="0.3"/>
    <row r="29" spans="1:7" ht="15.75" x14ac:dyDescent="0.25">
      <c r="A29" s="335" t="s">
        <v>419</v>
      </c>
      <c r="B29" s="336"/>
      <c r="C29" s="336"/>
      <c r="D29" s="336"/>
      <c r="E29" s="336"/>
      <c r="F29" s="336"/>
      <c r="G29" s="337"/>
    </row>
    <row r="30" spans="1:7" x14ac:dyDescent="0.25">
      <c r="A30" s="338" t="s">
        <v>242</v>
      </c>
      <c r="B30" s="339" t="s">
        <v>78</v>
      </c>
      <c r="C30" s="361" t="s">
        <v>305</v>
      </c>
      <c r="D30" s="361" t="s">
        <v>306</v>
      </c>
      <c r="E30" s="339" t="s">
        <v>63</v>
      </c>
      <c r="F30" s="361" t="s">
        <v>331</v>
      </c>
      <c r="G30" s="340" t="s">
        <v>22</v>
      </c>
    </row>
    <row r="31" spans="1:7" ht="18" x14ac:dyDescent="0.25">
      <c r="A31" s="341" t="s">
        <v>368</v>
      </c>
      <c r="B31" s="342"/>
      <c r="C31" s="342"/>
      <c r="D31" s="366"/>
      <c r="E31" s="366"/>
      <c r="F31" s="366"/>
      <c r="G31" s="367"/>
    </row>
    <row r="32" spans="1:7" x14ac:dyDescent="0.25">
      <c r="A32" s="348" t="s">
        <v>428</v>
      </c>
      <c r="B32" s="368">
        <v>0.3</v>
      </c>
      <c r="C32" s="368">
        <v>0</v>
      </c>
      <c r="D32" s="368">
        <v>0.4</v>
      </c>
      <c r="E32" s="343" t="s">
        <v>341</v>
      </c>
      <c r="F32" s="343" t="s">
        <v>680</v>
      </c>
      <c r="G32" s="367"/>
    </row>
    <row r="33" spans="1:7" x14ac:dyDescent="0.25">
      <c r="A33" s="348" t="s">
        <v>429</v>
      </c>
      <c r="B33" s="368">
        <v>0.5</v>
      </c>
      <c r="C33" s="368">
        <v>0</v>
      </c>
      <c r="D33" s="368">
        <v>1</v>
      </c>
      <c r="E33" s="343" t="s">
        <v>341</v>
      </c>
      <c r="F33" s="343" t="s">
        <v>680</v>
      </c>
      <c r="G33" s="367"/>
    </row>
    <row r="34" spans="1:7" x14ac:dyDescent="0.25">
      <c r="A34" s="437" t="s">
        <v>431</v>
      </c>
      <c r="B34" s="440">
        <f>1-(1*B32)</f>
        <v>0.7</v>
      </c>
      <c r="C34" s="319"/>
      <c r="D34" s="319"/>
      <c r="E34" s="305" t="s">
        <v>381</v>
      </c>
      <c r="F34" s="305" t="s">
        <v>680</v>
      </c>
      <c r="G34" s="325"/>
    </row>
    <row r="35" spans="1:7" x14ac:dyDescent="0.25">
      <c r="A35" s="426" t="s">
        <v>307</v>
      </c>
      <c r="B35" s="269">
        <f>1/B34*B39</f>
        <v>2.0408163265306123</v>
      </c>
      <c r="C35" s="319"/>
      <c r="D35" s="319"/>
      <c r="E35" s="289" t="s">
        <v>42</v>
      </c>
      <c r="F35" s="307" t="s">
        <v>680</v>
      </c>
      <c r="G35" s="325"/>
    </row>
    <row r="36" spans="1:7" ht="15" customHeight="1" x14ac:dyDescent="0.25">
      <c r="A36" s="345" t="s">
        <v>535</v>
      </c>
      <c r="B36" s="346">
        <f>B24</f>
        <v>2</v>
      </c>
      <c r="C36" s="366"/>
      <c r="D36" s="366"/>
      <c r="E36" s="408" t="s">
        <v>567</v>
      </c>
      <c r="F36" s="347" t="s">
        <v>680</v>
      </c>
      <c r="G36" s="419"/>
    </row>
    <row r="37" spans="1:7" x14ac:dyDescent="0.25">
      <c r="A37" s="426" t="s">
        <v>432</v>
      </c>
      <c r="B37" s="273">
        <f>B36*B39</f>
        <v>2.8571428571428572</v>
      </c>
      <c r="C37" s="319"/>
      <c r="D37" s="319"/>
      <c r="E37" s="289" t="s">
        <v>299</v>
      </c>
      <c r="F37" s="305" t="s">
        <v>680</v>
      </c>
      <c r="G37" s="441"/>
    </row>
    <row r="38" spans="1:7" ht="18" x14ac:dyDescent="0.25">
      <c r="A38" s="341" t="s">
        <v>369</v>
      </c>
      <c r="B38" s="342"/>
      <c r="C38" s="366"/>
      <c r="D38" s="366"/>
      <c r="E38" s="343"/>
      <c r="F38" s="343"/>
      <c r="G38" s="419"/>
    </row>
    <row r="39" spans="1:7" x14ac:dyDescent="0.25">
      <c r="A39" s="345" t="s">
        <v>342</v>
      </c>
      <c r="B39" s="356">
        <f>Electroplating!H9</f>
        <v>1.4285714285714286</v>
      </c>
      <c r="C39" s="355"/>
      <c r="D39" s="355"/>
      <c r="E39" s="357" t="s">
        <v>42</v>
      </c>
      <c r="F39" s="343" t="s">
        <v>680</v>
      </c>
      <c r="G39" s="367"/>
    </row>
    <row r="40" spans="1:7" ht="15.75" thickBot="1" x14ac:dyDescent="0.3">
      <c r="A40" s="352" t="s">
        <v>536</v>
      </c>
      <c r="B40" s="370">
        <f>B35*B32*B33</f>
        <v>0.30612244897959184</v>
      </c>
      <c r="C40" s="365"/>
      <c r="D40" s="365"/>
      <c r="E40" s="412" t="s">
        <v>42</v>
      </c>
      <c r="F40" s="349" t="s">
        <v>680</v>
      </c>
      <c r="G40" s="413"/>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M74"/>
  <sheetViews>
    <sheetView workbookViewId="0"/>
  </sheetViews>
  <sheetFormatPr defaultRowHeight="15" x14ac:dyDescent="0.25"/>
  <cols>
    <col min="1" max="1" width="37.5703125" customWidth="1"/>
    <col min="2" max="2" width="9.140625" bestFit="1" customWidth="1"/>
    <col min="3" max="3" width="8.5703125" bestFit="1" customWidth="1"/>
    <col min="5" max="5" width="5.7109375" bestFit="1" customWidth="1"/>
    <col min="6" max="6" width="38.5703125" customWidth="1"/>
    <col min="7" max="7" width="36.42578125" bestFit="1" customWidth="1"/>
    <col min="8" max="8" width="36.5703125" customWidth="1"/>
    <col min="11" max="11" width="43.140625" customWidth="1"/>
    <col min="12" max="12" width="13.28515625" customWidth="1"/>
    <col min="13" max="13" width="14.5703125" customWidth="1"/>
  </cols>
  <sheetData>
    <row r="1" spans="1:13" ht="21" x14ac:dyDescent="0.35">
      <c r="D1" s="237" t="s">
        <v>375</v>
      </c>
    </row>
    <row r="3" spans="1:13" ht="15.75" thickBot="1" x14ac:dyDescent="0.3"/>
    <row r="4" spans="1:13" ht="15" customHeight="1" x14ac:dyDescent="0.25">
      <c r="A4" s="238"/>
      <c r="G4" s="335" t="s">
        <v>420</v>
      </c>
      <c r="H4" s="336"/>
      <c r="I4" s="336"/>
      <c r="J4" s="336"/>
      <c r="K4" s="336"/>
      <c r="L4" s="336"/>
      <c r="M4" s="337"/>
    </row>
    <row r="5" spans="1:13" ht="15" customHeight="1" x14ac:dyDescent="0.25">
      <c r="A5" s="259" t="s">
        <v>242</v>
      </c>
      <c r="B5" s="259" t="s">
        <v>340</v>
      </c>
      <c r="C5" s="293" t="s">
        <v>305</v>
      </c>
      <c r="D5" s="293" t="s">
        <v>306</v>
      </c>
      <c r="E5" s="293" t="s">
        <v>72</v>
      </c>
      <c r="F5" s="292"/>
      <c r="G5" s="338" t="s">
        <v>242</v>
      </c>
      <c r="H5" s="354" t="s">
        <v>340</v>
      </c>
      <c r="I5" s="361" t="s">
        <v>305</v>
      </c>
      <c r="J5" s="361" t="s">
        <v>306</v>
      </c>
      <c r="K5" s="361" t="s">
        <v>72</v>
      </c>
      <c r="L5" s="361" t="s">
        <v>331</v>
      </c>
      <c r="M5" s="340" t="s">
        <v>22</v>
      </c>
    </row>
    <row r="6" spans="1:13" ht="15" customHeight="1" x14ac:dyDescent="0.25">
      <c r="A6" s="265" t="s">
        <v>368</v>
      </c>
      <c r="B6" s="239"/>
      <c r="C6" s="239"/>
      <c r="D6" s="292"/>
      <c r="F6" s="292"/>
      <c r="G6" s="341" t="s">
        <v>368</v>
      </c>
      <c r="H6" s="355"/>
      <c r="I6" s="355"/>
      <c r="J6" s="366"/>
      <c r="K6" s="366"/>
      <c r="L6" s="366"/>
      <c r="M6" s="367"/>
    </row>
    <row r="7" spans="1:13" ht="15" customHeight="1" x14ac:dyDescent="0.25">
      <c r="A7" s="435" t="s">
        <v>377</v>
      </c>
      <c r="B7" s="442">
        <v>0.3</v>
      </c>
      <c r="C7" s="442">
        <v>0.17499999999999999</v>
      </c>
      <c r="D7" s="442">
        <v>0.4</v>
      </c>
      <c r="E7" s="416" t="s">
        <v>341</v>
      </c>
      <c r="F7" s="292"/>
      <c r="G7" s="348" t="s">
        <v>435</v>
      </c>
      <c r="H7" s="368">
        <v>0.3</v>
      </c>
      <c r="I7" s="368">
        <v>0.17499999999999999</v>
      </c>
      <c r="J7" s="368">
        <v>0.4</v>
      </c>
      <c r="K7" s="343" t="s">
        <v>341</v>
      </c>
      <c r="L7" s="343" t="s">
        <v>680</v>
      </c>
      <c r="M7" s="367"/>
    </row>
    <row r="8" spans="1:13" ht="15" customHeight="1" x14ac:dyDescent="0.25">
      <c r="A8" s="355" t="s">
        <v>342</v>
      </c>
      <c r="B8" s="346">
        <v>1</v>
      </c>
      <c r="C8" s="372"/>
      <c r="D8" s="435"/>
      <c r="E8" s="408" t="s">
        <v>42</v>
      </c>
      <c r="G8" s="348" t="s">
        <v>436</v>
      </c>
      <c r="H8" s="356">
        <f>1-(1*H7)</f>
        <v>0.7</v>
      </c>
      <c r="I8" s="366"/>
      <c r="J8" s="366"/>
      <c r="K8" s="343" t="s">
        <v>381</v>
      </c>
      <c r="L8" s="343" t="s">
        <v>680</v>
      </c>
      <c r="M8" s="367"/>
    </row>
    <row r="9" spans="1:13" ht="15" customHeight="1" x14ac:dyDescent="0.25">
      <c r="A9" s="373" t="s">
        <v>345</v>
      </c>
      <c r="B9" s="443">
        <f t="shared" ref="B9:B16" si="0">G46</f>
        <v>6.8000000000000013E-5</v>
      </c>
      <c r="C9" s="372"/>
      <c r="D9" s="435"/>
      <c r="E9" s="416" t="s">
        <v>42</v>
      </c>
      <c r="F9" s="292"/>
      <c r="G9" s="437" t="s">
        <v>342</v>
      </c>
      <c r="H9" s="307">
        <f>1/$H$8</f>
        <v>1.4285714285714286</v>
      </c>
      <c r="I9" s="319"/>
      <c r="J9" s="319"/>
      <c r="K9" s="305" t="s">
        <v>42</v>
      </c>
      <c r="L9" s="305" t="s">
        <v>680</v>
      </c>
      <c r="M9" s="325"/>
    </row>
    <row r="10" spans="1:13" ht="15" customHeight="1" x14ac:dyDescent="0.25">
      <c r="A10" s="373" t="s">
        <v>346</v>
      </c>
      <c r="B10" s="443">
        <f t="shared" si="0"/>
        <v>1.3600000000000003E-4</v>
      </c>
      <c r="C10" s="372"/>
      <c r="D10" s="435"/>
      <c r="E10" s="416" t="s">
        <v>42</v>
      </c>
      <c r="F10" s="290"/>
      <c r="G10" s="300" t="s">
        <v>442</v>
      </c>
      <c r="H10" s="269">
        <f>B9/$H$8</f>
        <v>9.7142857142857165E-5</v>
      </c>
      <c r="I10" s="270"/>
      <c r="J10" s="319"/>
      <c r="K10" s="305" t="s">
        <v>42</v>
      </c>
      <c r="L10" s="305" t="s">
        <v>715</v>
      </c>
      <c r="M10" s="325"/>
    </row>
    <row r="11" spans="1:13" ht="15" customHeight="1" x14ac:dyDescent="0.25">
      <c r="A11" s="373" t="s">
        <v>347</v>
      </c>
      <c r="B11" s="443">
        <f>G48</f>
        <v>1.6320000000000001E-4</v>
      </c>
      <c r="C11" s="372"/>
      <c r="D11" s="435"/>
      <c r="E11" s="416" t="s">
        <v>42</v>
      </c>
      <c r="F11" s="290" t="s">
        <v>154</v>
      </c>
      <c r="G11" s="300" t="s">
        <v>441</v>
      </c>
      <c r="H11" s="269">
        <f>B10/$H$8</f>
        <v>1.9428571428571433E-4</v>
      </c>
      <c r="I11" s="270"/>
      <c r="J11" s="319"/>
      <c r="K11" s="305" t="s">
        <v>42</v>
      </c>
      <c r="L11" s="305" t="s">
        <v>715</v>
      </c>
      <c r="M11" s="325"/>
    </row>
    <row r="12" spans="1:13" ht="15" customHeight="1" x14ac:dyDescent="0.25">
      <c r="A12" s="373" t="s">
        <v>348</v>
      </c>
      <c r="B12" s="443">
        <f t="shared" si="0"/>
        <v>3.4000000000000002E-4</v>
      </c>
      <c r="C12" s="372"/>
      <c r="D12" s="435"/>
      <c r="E12" s="416" t="s">
        <v>42</v>
      </c>
      <c r="F12" s="290"/>
      <c r="G12" s="300" t="s">
        <v>440</v>
      </c>
      <c r="H12" s="269">
        <f t="shared" ref="H12:H17" si="1">B11/$H$8</f>
        <v>2.3314285714285716E-4</v>
      </c>
      <c r="I12" s="270"/>
      <c r="J12" s="319"/>
      <c r="K12" s="305" t="s">
        <v>42</v>
      </c>
      <c r="L12" s="305" t="s">
        <v>715</v>
      </c>
      <c r="M12" s="325"/>
    </row>
    <row r="13" spans="1:13" ht="15" customHeight="1" x14ac:dyDescent="0.25">
      <c r="A13" s="373" t="s">
        <v>349</v>
      </c>
      <c r="B13" s="443">
        <f t="shared" si="0"/>
        <v>1.2512000000000001E-3</v>
      </c>
      <c r="C13" s="372"/>
      <c r="D13" s="435"/>
      <c r="E13" s="416" t="s">
        <v>42</v>
      </c>
      <c r="F13" s="290"/>
      <c r="G13" s="300" t="s">
        <v>437</v>
      </c>
      <c r="H13" s="269">
        <f t="shared" si="1"/>
        <v>4.8571428571428577E-4</v>
      </c>
      <c r="I13" s="270"/>
      <c r="J13" s="319"/>
      <c r="K13" s="305" t="s">
        <v>42</v>
      </c>
      <c r="L13" s="305" t="s">
        <v>715</v>
      </c>
      <c r="M13" s="325"/>
    </row>
    <row r="14" spans="1:13" x14ac:dyDescent="0.25">
      <c r="A14" s="373" t="s">
        <v>350</v>
      </c>
      <c r="B14" s="443">
        <f t="shared" si="0"/>
        <v>1.0880000000000001</v>
      </c>
      <c r="C14" s="435"/>
      <c r="D14" s="436">
        <f>H51</f>
        <v>1.7680000000000002</v>
      </c>
      <c r="E14" s="416" t="s">
        <v>42</v>
      </c>
      <c r="F14" s="290"/>
      <c r="G14" s="300" t="s">
        <v>439</v>
      </c>
      <c r="H14" s="269">
        <f t="shared" si="1"/>
        <v>1.7874285714285715E-3</v>
      </c>
      <c r="I14" s="270"/>
      <c r="J14" s="319"/>
      <c r="K14" s="305" t="s">
        <v>42</v>
      </c>
      <c r="L14" s="305" t="s">
        <v>715</v>
      </c>
      <c r="M14" s="325"/>
    </row>
    <row r="15" spans="1:13" x14ac:dyDescent="0.25">
      <c r="A15" s="373" t="s">
        <v>301</v>
      </c>
      <c r="B15" s="443">
        <f t="shared" si="0"/>
        <v>0.46498400000000006</v>
      </c>
      <c r="C15" s="435"/>
      <c r="D15" s="436">
        <f>H52</f>
        <v>0.62090800000000002</v>
      </c>
      <c r="E15" s="408" t="s">
        <v>299</v>
      </c>
      <c r="F15" s="290"/>
      <c r="G15" s="300" t="s">
        <v>871</v>
      </c>
      <c r="H15" s="269">
        <f>B14/$H$8</f>
        <v>1.5542857142857145</v>
      </c>
      <c r="I15" s="319"/>
      <c r="J15" s="307">
        <f>D14/$H$8</f>
        <v>2.5257142857142862</v>
      </c>
      <c r="K15" s="305" t="s">
        <v>42</v>
      </c>
      <c r="L15" s="305" t="s">
        <v>715</v>
      </c>
      <c r="M15" s="325"/>
    </row>
    <row r="16" spans="1:13" x14ac:dyDescent="0.25">
      <c r="A16" s="373" t="s">
        <v>351</v>
      </c>
      <c r="B16" s="443">
        <f t="shared" si="0"/>
        <v>9.5540000000000014E-2</v>
      </c>
      <c r="C16" s="435"/>
      <c r="D16" s="436">
        <f>H53</f>
        <v>0.11798000000000002</v>
      </c>
      <c r="E16" s="416" t="s">
        <v>42</v>
      </c>
      <c r="G16" s="300" t="s">
        <v>870</v>
      </c>
      <c r="H16" s="269">
        <f t="shared" si="1"/>
        <v>0.66426285714285727</v>
      </c>
      <c r="I16" s="319"/>
      <c r="J16" s="307">
        <f>D15/$H$8</f>
        <v>0.88701142857142867</v>
      </c>
      <c r="K16" s="289" t="s">
        <v>299</v>
      </c>
      <c r="L16" s="305" t="s">
        <v>715</v>
      </c>
      <c r="M16" s="325"/>
    </row>
    <row r="17" spans="1:13" ht="15" customHeight="1" x14ac:dyDescent="0.25">
      <c r="A17" s="265" t="s">
        <v>369</v>
      </c>
      <c r="B17" s="315"/>
      <c r="C17" s="236"/>
      <c r="D17" s="315"/>
      <c r="E17" s="315"/>
      <c r="G17" s="300" t="s">
        <v>351</v>
      </c>
      <c r="H17" s="269">
        <f t="shared" si="1"/>
        <v>0.13648571428571432</v>
      </c>
      <c r="I17" s="319"/>
      <c r="J17" s="307">
        <f>D16/$H$8</f>
        <v>0.16854285714285719</v>
      </c>
      <c r="K17" s="305" t="s">
        <v>42</v>
      </c>
      <c r="L17" s="305" t="s">
        <v>715</v>
      </c>
      <c r="M17" s="325"/>
    </row>
    <row r="18" spans="1:13" ht="18" x14ac:dyDescent="0.25">
      <c r="A18" s="239" t="s">
        <v>352</v>
      </c>
      <c r="B18" s="316">
        <f>B8-(B8*B7)</f>
        <v>0.7</v>
      </c>
      <c r="C18" s="236"/>
      <c r="D18" s="317"/>
      <c r="E18" s="317" t="s">
        <v>42</v>
      </c>
      <c r="G18" s="341" t="s">
        <v>369</v>
      </c>
      <c r="H18" s="342"/>
      <c r="I18" s="355"/>
      <c r="J18" s="342"/>
      <c r="K18" s="342"/>
      <c r="L18" s="343"/>
      <c r="M18" s="367"/>
    </row>
    <row r="19" spans="1:13" x14ac:dyDescent="0.25">
      <c r="A19" s="373" t="s">
        <v>852</v>
      </c>
      <c r="B19" s="436">
        <f t="shared" ref="B19:B24" si="2">G55</f>
        <v>1.088E-6</v>
      </c>
      <c r="C19" s="435"/>
      <c r="D19" s="436">
        <f>H55</f>
        <v>1.7680000000000001E-6</v>
      </c>
      <c r="E19" s="416" t="s">
        <v>42</v>
      </c>
      <c r="F19" s="290"/>
      <c r="G19" s="426" t="s">
        <v>352</v>
      </c>
      <c r="H19" s="316">
        <f>H8/H8</f>
        <v>1</v>
      </c>
      <c r="I19" s="239"/>
      <c r="J19" s="317"/>
      <c r="K19" s="317" t="s">
        <v>42</v>
      </c>
      <c r="L19" s="305" t="s">
        <v>680</v>
      </c>
      <c r="M19" s="325"/>
    </row>
    <row r="20" spans="1:13" ht="15" customHeight="1" x14ac:dyDescent="0.25">
      <c r="A20" s="373" t="s">
        <v>354</v>
      </c>
      <c r="B20" s="436">
        <f t="shared" si="2"/>
        <v>6.8000000000000013E-5</v>
      </c>
      <c r="C20" s="435"/>
      <c r="D20" s="416"/>
      <c r="E20" s="416" t="s">
        <v>42</v>
      </c>
      <c r="F20" s="290"/>
      <c r="G20" s="300" t="s">
        <v>851</v>
      </c>
      <c r="H20" s="307">
        <f>B19/$H$8</f>
        <v>1.5542857142857143E-6</v>
      </c>
      <c r="I20" s="319"/>
      <c r="J20" s="307">
        <f>D19/$H$8</f>
        <v>2.5257142857142858E-6</v>
      </c>
      <c r="K20" s="305" t="s">
        <v>42</v>
      </c>
      <c r="L20" s="305" t="s">
        <v>715</v>
      </c>
      <c r="M20" s="325"/>
    </row>
    <row r="21" spans="1:13" ht="15" customHeight="1" x14ac:dyDescent="0.25">
      <c r="A21" s="373" t="s">
        <v>355</v>
      </c>
      <c r="B21" s="436">
        <f t="shared" si="2"/>
        <v>2.0400000000000003E-4</v>
      </c>
      <c r="C21" s="435"/>
      <c r="D21" s="416"/>
      <c r="E21" s="416" t="s">
        <v>42</v>
      </c>
      <c r="G21" s="300" t="s">
        <v>909</v>
      </c>
      <c r="H21" s="307">
        <f t="shared" ref="H21:H25" si="3">B20/$H$8</f>
        <v>9.7142857142857165E-5</v>
      </c>
      <c r="I21" s="319"/>
      <c r="J21" s="305"/>
      <c r="K21" s="305" t="s">
        <v>42</v>
      </c>
      <c r="L21" s="305" t="s">
        <v>715</v>
      </c>
      <c r="M21" s="325"/>
    </row>
    <row r="22" spans="1:13" x14ac:dyDescent="0.25">
      <c r="A22" s="373" t="s">
        <v>356</v>
      </c>
      <c r="B22" s="436">
        <f t="shared" si="2"/>
        <v>3.4000000000000007E-5</v>
      </c>
      <c r="C22" s="435"/>
      <c r="D22" s="416"/>
      <c r="E22" s="416" t="s">
        <v>42</v>
      </c>
      <c r="G22" s="300" t="s">
        <v>910</v>
      </c>
      <c r="H22" s="307">
        <f>B21/$H$8</f>
        <v>2.914285714285715E-4</v>
      </c>
      <c r="I22" s="319"/>
      <c r="J22" s="305"/>
      <c r="K22" s="305" t="s">
        <v>42</v>
      </c>
      <c r="L22" s="305" t="s">
        <v>715</v>
      </c>
      <c r="M22" s="325"/>
    </row>
    <row r="23" spans="1:13" ht="15" customHeight="1" x14ac:dyDescent="0.25">
      <c r="A23" s="373" t="s">
        <v>350</v>
      </c>
      <c r="B23" s="436">
        <f t="shared" si="2"/>
        <v>0.54400000000000004</v>
      </c>
      <c r="C23" s="435"/>
      <c r="D23" s="436">
        <f>H59</f>
        <v>0.88400000000000012</v>
      </c>
      <c r="E23" s="416" t="s">
        <v>42</v>
      </c>
      <c r="G23" s="300" t="s">
        <v>911</v>
      </c>
      <c r="H23" s="307">
        <f t="shared" si="3"/>
        <v>4.8571428571428583E-5</v>
      </c>
      <c r="I23" s="319"/>
      <c r="J23" s="305"/>
      <c r="K23" s="305" t="s">
        <v>42</v>
      </c>
      <c r="L23" s="305" t="s">
        <v>715</v>
      </c>
      <c r="M23" s="325"/>
    </row>
    <row r="24" spans="1:13" x14ac:dyDescent="0.25">
      <c r="A24" s="445" t="s">
        <v>357</v>
      </c>
      <c r="B24" s="436">
        <f t="shared" si="2"/>
        <v>3.8080000000000002E-6</v>
      </c>
      <c r="C24" s="435"/>
      <c r="D24" s="436">
        <f>H60</f>
        <v>5.1680000000000003E-6</v>
      </c>
      <c r="E24" s="416" t="s">
        <v>42</v>
      </c>
      <c r="G24" s="300" t="s">
        <v>443</v>
      </c>
      <c r="H24" s="307">
        <f t="shared" si="3"/>
        <v>0.77714285714285725</v>
      </c>
      <c r="I24" s="319"/>
      <c r="J24" s="307">
        <f>D23/$H$8</f>
        <v>1.2628571428571431</v>
      </c>
      <c r="K24" s="305" t="s">
        <v>42</v>
      </c>
      <c r="L24" s="305" t="s">
        <v>715</v>
      </c>
      <c r="M24" s="325"/>
    </row>
    <row r="25" spans="1:13" ht="15" customHeight="1" thickBot="1" x14ac:dyDescent="0.3">
      <c r="G25" s="310" t="s">
        <v>438</v>
      </c>
      <c r="H25" s="311">
        <f t="shared" si="3"/>
        <v>5.4400000000000004E-6</v>
      </c>
      <c r="I25" s="444"/>
      <c r="J25" s="311">
        <f>D24/$H$8</f>
        <v>7.3828571428571438E-6</v>
      </c>
      <c r="K25" s="314" t="s">
        <v>42</v>
      </c>
      <c r="L25" s="314" t="s">
        <v>715</v>
      </c>
      <c r="M25" s="432"/>
    </row>
    <row r="26" spans="1:13" ht="15.75" thickBot="1" x14ac:dyDescent="0.3">
      <c r="A26" t="s">
        <v>717</v>
      </c>
    </row>
    <row r="27" spans="1:13" ht="16.5" thickBot="1" x14ac:dyDescent="0.3">
      <c r="A27" s="326" t="s">
        <v>358</v>
      </c>
      <c r="B27" s="323"/>
      <c r="C27" s="323"/>
      <c r="D27" s="324"/>
      <c r="F27" s="326" t="s">
        <v>434</v>
      </c>
      <c r="G27" s="323"/>
      <c r="H27" s="323"/>
      <c r="I27" s="324"/>
    </row>
    <row r="28" spans="1:13" x14ac:dyDescent="0.25">
      <c r="A28" s="301" t="s">
        <v>334</v>
      </c>
      <c r="B28" s="302" t="s">
        <v>60</v>
      </c>
      <c r="C28" s="302" t="s">
        <v>306</v>
      </c>
      <c r="D28" s="303" t="s">
        <v>63</v>
      </c>
      <c r="E28" s="292"/>
      <c r="F28" s="301" t="s">
        <v>334</v>
      </c>
      <c r="G28" s="302" t="s">
        <v>60</v>
      </c>
      <c r="H28" s="302" t="s">
        <v>306</v>
      </c>
      <c r="I28" s="303" t="s">
        <v>63</v>
      </c>
    </row>
    <row r="29" spans="1:13" x14ac:dyDescent="0.25">
      <c r="A29" s="304" t="s">
        <v>359</v>
      </c>
      <c r="B29" s="305"/>
      <c r="C29" s="305"/>
      <c r="D29" s="306"/>
      <c r="E29" s="292"/>
      <c r="F29" s="300" t="s">
        <v>345</v>
      </c>
      <c r="G29" s="307">
        <f>B54</f>
        <v>1E-3</v>
      </c>
      <c r="H29" s="305"/>
      <c r="I29" s="306" t="s">
        <v>42</v>
      </c>
    </row>
    <row r="30" spans="1:13" x14ac:dyDescent="0.25">
      <c r="A30" s="300" t="s">
        <v>345</v>
      </c>
      <c r="B30" s="305">
        <v>1</v>
      </c>
      <c r="C30" s="305"/>
      <c r="D30" s="306" t="s">
        <v>360</v>
      </c>
      <c r="E30" s="292"/>
      <c r="F30" s="300" t="s">
        <v>346</v>
      </c>
      <c r="G30" s="307">
        <f>B55</f>
        <v>2E-3</v>
      </c>
      <c r="H30" s="305"/>
      <c r="I30" s="306" t="s">
        <v>42</v>
      </c>
    </row>
    <row r="31" spans="1:13" x14ac:dyDescent="0.25">
      <c r="A31" s="300" t="s">
        <v>346</v>
      </c>
      <c r="B31" s="305">
        <v>2</v>
      </c>
      <c r="C31" s="305"/>
      <c r="D31" s="306" t="s">
        <v>360</v>
      </c>
      <c r="E31" s="292"/>
      <c r="F31" s="300" t="s">
        <v>347</v>
      </c>
      <c r="G31" s="307">
        <f>B56</f>
        <v>2.3999999999999998E-3</v>
      </c>
      <c r="H31" s="305"/>
      <c r="I31" s="306" t="s">
        <v>42</v>
      </c>
    </row>
    <row r="32" spans="1:13" x14ac:dyDescent="0.25">
      <c r="A32" s="300" t="s">
        <v>347</v>
      </c>
      <c r="B32" s="305">
        <v>2.4</v>
      </c>
      <c r="C32" s="305"/>
      <c r="D32" s="306" t="s">
        <v>360</v>
      </c>
      <c r="E32" s="292"/>
      <c r="F32" s="300" t="s">
        <v>348</v>
      </c>
      <c r="G32" s="307">
        <f>B57</f>
        <v>5.0000000000000001E-3</v>
      </c>
      <c r="H32" s="305"/>
      <c r="I32" s="306" t="s">
        <v>42</v>
      </c>
    </row>
    <row r="33" spans="1:13" x14ac:dyDescent="0.25">
      <c r="A33" s="300" t="s">
        <v>348</v>
      </c>
      <c r="B33" s="305">
        <v>5</v>
      </c>
      <c r="C33" s="305"/>
      <c r="D33" s="306" t="s">
        <v>360</v>
      </c>
      <c r="E33" s="292"/>
      <c r="F33" s="300" t="s">
        <v>349</v>
      </c>
      <c r="G33" s="307">
        <f>B61</f>
        <v>1.84E-2</v>
      </c>
      <c r="H33" s="305"/>
      <c r="I33" s="306" t="s">
        <v>42</v>
      </c>
    </row>
    <row r="34" spans="1:13" x14ac:dyDescent="0.25">
      <c r="A34" s="300" t="s">
        <v>350</v>
      </c>
      <c r="B34" s="305">
        <v>8</v>
      </c>
      <c r="C34" s="305">
        <v>13</v>
      </c>
      <c r="D34" s="306" t="s">
        <v>361</v>
      </c>
      <c r="E34" s="292"/>
      <c r="F34" s="300" t="s">
        <v>350</v>
      </c>
      <c r="G34" s="307">
        <f>B58+B62</f>
        <v>16</v>
      </c>
      <c r="H34" s="307">
        <f>C58+C62</f>
        <v>26</v>
      </c>
      <c r="I34" s="306" t="s">
        <v>42</v>
      </c>
    </row>
    <row r="35" spans="1:13" x14ac:dyDescent="0.25">
      <c r="A35" s="304" t="s">
        <v>362</v>
      </c>
      <c r="B35" s="305"/>
      <c r="C35" s="305"/>
      <c r="D35" s="306"/>
      <c r="E35" s="292"/>
      <c r="F35" s="300" t="s">
        <v>301</v>
      </c>
      <c r="G35" s="307">
        <f>B60+B65</f>
        <v>6.8380000000000001</v>
      </c>
      <c r="H35" s="307">
        <f>B60+C65</f>
        <v>9.1310000000000002</v>
      </c>
      <c r="I35" s="306" t="s">
        <v>299</v>
      </c>
    </row>
    <row r="36" spans="1:13" x14ac:dyDescent="0.25">
      <c r="A36" s="300" t="s">
        <v>301</v>
      </c>
      <c r="B36" s="305">
        <v>0.42</v>
      </c>
      <c r="C36" s="305"/>
      <c r="D36" s="306" t="s">
        <v>299</v>
      </c>
      <c r="E36" s="292"/>
      <c r="F36" s="300" t="s">
        <v>351</v>
      </c>
      <c r="G36" s="305">
        <f>B64</f>
        <v>1.405</v>
      </c>
      <c r="H36" s="305">
        <f>C64</f>
        <v>1.7350000000000001</v>
      </c>
      <c r="I36" s="306" t="s">
        <v>42</v>
      </c>
    </row>
    <row r="37" spans="1:13" x14ac:dyDescent="0.25">
      <c r="A37" s="300" t="s">
        <v>349</v>
      </c>
      <c r="B37" s="305">
        <v>18.399999999999999</v>
      </c>
      <c r="C37" s="305"/>
      <c r="D37" s="306" t="s">
        <v>360</v>
      </c>
      <c r="E37" s="292"/>
      <c r="F37" s="308" t="s">
        <v>339</v>
      </c>
      <c r="G37" s="242" t="s">
        <v>60</v>
      </c>
      <c r="H37" s="242" t="s">
        <v>306</v>
      </c>
      <c r="I37" s="309" t="s">
        <v>63</v>
      </c>
    </row>
    <row r="38" spans="1:13" x14ac:dyDescent="0.25">
      <c r="A38" s="300" t="s">
        <v>350</v>
      </c>
      <c r="B38" s="305">
        <v>8</v>
      </c>
      <c r="C38" s="305">
        <v>13</v>
      </c>
      <c r="D38" s="306" t="s">
        <v>361</v>
      </c>
      <c r="E38" s="292"/>
      <c r="F38" s="300" t="s">
        <v>353</v>
      </c>
      <c r="G38" s="307">
        <f>B68</f>
        <v>1.5999999999999999E-5</v>
      </c>
      <c r="H38" s="307">
        <f>C68</f>
        <v>2.5999999999999998E-5</v>
      </c>
      <c r="I38" s="306" t="s">
        <v>42</v>
      </c>
    </row>
    <row r="39" spans="1:13" x14ac:dyDescent="0.25">
      <c r="A39" s="304" t="s">
        <v>344</v>
      </c>
      <c r="B39" s="305"/>
      <c r="C39" s="305"/>
      <c r="D39" s="306"/>
      <c r="E39" s="292"/>
      <c r="F39" s="300" t="s">
        <v>354</v>
      </c>
      <c r="G39" s="307">
        <f>B69</f>
        <v>1E-3</v>
      </c>
      <c r="H39" s="305"/>
      <c r="I39" s="306" t="s">
        <v>42</v>
      </c>
    </row>
    <row r="40" spans="1:13" x14ac:dyDescent="0.25">
      <c r="A40" s="300" t="s">
        <v>351</v>
      </c>
      <c r="B40" s="305">
        <v>1.405</v>
      </c>
      <c r="C40" s="305">
        <v>1.7350000000000001</v>
      </c>
      <c r="D40" s="306" t="s">
        <v>42</v>
      </c>
      <c r="E40" s="292"/>
      <c r="F40" s="300" t="s">
        <v>355</v>
      </c>
      <c r="G40" s="307">
        <f>B70</f>
        <v>3.0000000000000001E-3</v>
      </c>
      <c r="H40" s="305"/>
      <c r="I40" s="306" t="s">
        <v>42</v>
      </c>
    </row>
    <row r="41" spans="1:13" x14ac:dyDescent="0.25">
      <c r="A41" s="300" t="s">
        <v>301</v>
      </c>
      <c r="B41" s="305">
        <v>6.4180000000000001</v>
      </c>
      <c r="C41" s="305">
        <v>8.7110000000000003</v>
      </c>
      <c r="D41" s="306" t="s">
        <v>299</v>
      </c>
      <c r="E41" s="292"/>
      <c r="F41" s="300" t="s">
        <v>356</v>
      </c>
      <c r="G41" s="307">
        <f>B71</f>
        <v>5.0000000000000001E-4</v>
      </c>
      <c r="H41" s="305"/>
      <c r="I41" s="306" t="s">
        <v>42</v>
      </c>
    </row>
    <row r="42" spans="1:13" x14ac:dyDescent="0.25">
      <c r="A42" s="308" t="s">
        <v>339</v>
      </c>
      <c r="B42" s="242" t="s">
        <v>60</v>
      </c>
      <c r="C42" s="242" t="s">
        <v>306</v>
      </c>
      <c r="D42" s="309" t="s">
        <v>63</v>
      </c>
      <c r="E42" s="292"/>
      <c r="F42" s="300" t="s">
        <v>350</v>
      </c>
      <c r="G42" s="307">
        <f>B72</f>
        <v>8</v>
      </c>
      <c r="H42" s="307">
        <f>C72</f>
        <v>13</v>
      </c>
      <c r="I42" s="306" t="s">
        <v>42</v>
      </c>
    </row>
    <row r="43" spans="1:13" ht="15.75" thickBot="1" x14ac:dyDescent="0.3">
      <c r="A43" s="304" t="s">
        <v>93</v>
      </c>
      <c r="B43" s="305"/>
      <c r="C43" s="305"/>
      <c r="D43" s="306"/>
      <c r="E43" s="292"/>
      <c r="F43" s="310" t="s">
        <v>357</v>
      </c>
      <c r="G43" s="311">
        <f>B74</f>
        <v>5.5999999999999999E-5</v>
      </c>
      <c r="H43" s="311">
        <f>C74</f>
        <v>7.6000000000000004E-5</v>
      </c>
      <c r="I43" s="312" t="s">
        <v>42</v>
      </c>
    </row>
    <row r="44" spans="1:13" ht="16.5" thickBot="1" x14ac:dyDescent="0.3">
      <c r="A44" s="300" t="s">
        <v>353</v>
      </c>
      <c r="B44" s="305">
        <v>16</v>
      </c>
      <c r="C44" s="305">
        <v>26</v>
      </c>
      <c r="D44" s="306" t="s">
        <v>363</v>
      </c>
      <c r="E44" s="292"/>
      <c r="F44" s="327" t="s">
        <v>380</v>
      </c>
      <c r="G44" s="320">
        <v>6.8000000000000005E-2</v>
      </c>
      <c r="H44" s="321"/>
      <c r="I44" s="322" t="s">
        <v>379</v>
      </c>
    </row>
    <row r="45" spans="1:13" x14ac:dyDescent="0.25">
      <c r="A45" s="300" t="s">
        <v>354</v>
      </c>
      <c r="B45" s="305">
        <v>1</v>
      </c>
      <c r="C45" s="305"/>
      <c r="D45" s="306" t="s">
        <v>360</v>
      </c>
      <c r="E45" s="292"/>
      <c r="F45" s="301" t="s">
        <v>334</v>
      </c>
      <c r="G45" s="302" t="s">
        <v>60</v>
      </c>
      <c r="H45" s="302" t="s">
        <v>306</v>
      </c>
      <c r="I45" s="303" t="s">
        <v>63</v>
      </c>
    </row>
    <row r="46" spans="1:13" x14ac:dyDescent="0.25">
      <c r="A46" s="300" t="s">
        <v>355</v>
      </c>
      <c r="B46" s="305">
        <v>3</v>
      </c>
      <c r="C46" s="305"/>
      <c r="D46" s="306" t="s">
        <v>360</v>
      </c>
      <c r="E46" s="292"/>
      <c r="F46" s="300" t="s">
        <v>345</v>
      </c>
      <c r="G46" s="307">
        <f t="shared" ref="G46:G53" si="4">G29*$G$44</f>
        <v>6.8000000000000013E-5</v>
      </c>
      <c r="H46" s="305"/>
      <c r="I46" s="306" t="s">
        <v>42</v>
      </c>
    </row>
    <row r="47" spans="1:13" x14ac:dyDescent="0.25">
      <c r="A47" s="300" t="s">
        <v>356</v>
      </c>
      <c r="B47" s="305">
        <v>0.5</v>
      </c>
      <c r="C47" s="305"/>
      <c r="D47" s="306" t="s">
        <v>360</v>
      </c>
      <c r="E47" s="292"/>
      <c r="F47" s="300" t="s">
        <v>346</v>
      </c>
      <c r="G47" s="307">
        <f t="shared" si="4"/>
        <v>1.3600000000000003E-4</v>
      </c>
      <c r="H47" s="305"/>
      <c r="I47" s="306" t="s">
        <v>42</v>
      </c>
      <c r="L47" s="297"/>
      <c r="M47" s="297"/>
    </row>
    <row r="48" spans="1:13" x14ac:dyDescent="0.25">
      <c r="A48" s="300" t="s">
        <v>350</v>
      </c>
      <c r="B48" s="305">
        <v>8</v>
      </c>
      <c r="C48" s="305">
        <v>13</v>
      </c>
      <c r="D48" s="306"/>
      <c r="E48" s="292"/>
      <c r="F48" s="300" t="s">
        <v>347</v>
      </c>
      <c r="G48" s="307">
        <f t="shared" si="4"/>
        <v>1.6320000000000001E-4</v>
      </c>
      <c r="H48" s="305"/>
      <c r="I48" s="306" t="s">
        <v>42</v>
      </c>
    </row>
    <row r="49" spans="1:9" x14ac:dyDescent="0.25">
      <c r="A49" s="304" t="s">
        <v>84</v>
      </c>
      <c r="B49" s="305"/>
      <c r="C49" s="305"/>
      <c r="D49" s="306"/>
      <c r="E49" s="292"/>
      <c r="F49" s="300" t="s">
        <v>348</v>
      </c>
      <c r="G49" s="307">
        <f t="shared" si="4"/>
        <v>3.4000000000000002E-4</v>
      </c>
      <c r="H49" s="305"/>
      <c r="I49" s="306" t="s">
        <v>42</v>
      </c>
    </row>
    <row r="50" spans="1:9" ht="15.75" thickBot="1" x14ac:dyDescent="0.3">
      <c r="A50" s="313" t="s">
        <v>357</v>
      </c>
      <c r="B50" s="314">
        <v>5.6000000000000001E-2</v>
      </c>
      <c r="C50" s="314">
        <v>7.5999999999999998E-2</v>
      </c>
      <c r="D50" s="312" t="s">
        <v>360</v>
      </c>
      <c r="E50" s="292"/>
      <c r="F50" s="300" t="s">
        <v>349</v>
      </c>
      <c r="G50" s="307">
        <f t="shared" si="4"/>
        <v>1.2512000000000001E-3</v>
      </c>
      <c r="H50" s="305"/>
      <c r="I50" s="306" t="s">
        <v>42</v>
      </c>
    </row>
    <row r="51" spans="1:9" ht="16.5" thickBot="1" x14ac:dyDescent="0.3">
      <c r="A51" s="326" t="s">
        <v>433</v>
      </c>
      <c r="B51" s="319"/>
      <c r="C51" s="319"/>
      <c r="D51" s="325"/>
      <c r="E51" s="292"/>
      <c r="F51" s="300" t="s">
        <v>350</v>
      </c>
      <c r="G51" s="307">
        <f t="shared" si="4"/>
        <v>1.0880000000000001</v>
      </c>
      <c r="H51" s="307">
        <f>H34*$G$44</f>
        <v>1.7680000000000002</v>
      </c>
      <c r="I51" s="306" t="s">
        <v>42</v>
      </c>
    </row>
    <row r="52" spans="1:9" x14ac:dyDescent="0.25">
      <c r="A52" s="301" t="s">
        <v>334</v>
      </c>
      <c r="B52" s="302" t="s">
        <v>60</v>
      </c>
      <c r="C52" s="302" t="s">
        <v>306</v>
      </c>
      <c r="D52" s="303" t="s">
        <v>63</v>
      </c>
      <c r="E52" s="292"/>
      <c r="F52" s="300" t="s">
        <v>301</v>
      </c>
      <c r="G52" s="307">
        <f t="shared" si="4"/>
        <v>0.46498400000000006</v>
      </c>
      <c r="H52" s="307">
        <f>H35*$G$44</f>
        <v>0.62090800000000002</v>
      </c>
      <c r="I52" s="306" t="s">
        <v>299</v>
      </c>
    </row>
    <row r="53" spans="1:9" x14ac:dyDescent="0.25">
      <c r="A53" s="304" t="s">
        <v>359</v>
      </c>
      <c r="B53" s="305"/>
      <c r="C53" s="305"/>
      <c r="D53" s="306"/>
      <c r="E53" s="292"/>
      <c r="F53" s="300" t="s">
        <v>351</v>
      </c>
      <c r="G53" s="307">
        <f t="shared" si="4"/>
        <v>9.5540000000000014E-2</v>
      </c>
      <c r="H53" s="307">
        <f>H36*$G$44</f>
        <v>0.11798000000000002</v>
      </c>
      <c r="I53" s="306" t="s">
        <v>42</v>
      </c>
    </row>
    <row r="54" spans="1:9" x14ac:dyDescent="0.25">
      <c r="A54" s="300" t="s">
        <v>345</v>
      </c>
      <c r="B54" s="307">
        <f>B30/1000</f>
        <v>1E-3</v>
      </c>
      <c r="C54" s="305"/>
      <c r="D54" s="306" t="s">
        <v>42</v>
      </c>
      <c r="E54" s="292"/>
      <c r="F54" s="308" t="s">
        <v>339</v>
      </c>
      <c r="G54" s="242" t="s">
        <v>60</v>
      </c>
      <c r="H54" s="242" t="s">
        <v>306</v>
      </c>
      <c r="I54" s="309" t="s">
        <v>63</v>
      </c>
    </row>
    <row r="55" spans="1:9" x14ac:dyDescent="0.25">
      <c r="A55" s="300" t="s">
        <v>346</v>
      </c>
      <c r="B55" s="307">
        <f t="shared" ref="B55:B57" si="5">B31/1000</f>
        <v>2E-3</v>
      </c>
      <c r="C55" s="305"/>
      <c r="D55" s="306" t="s">
        <v>42</v>
      </c>
      <c r="E55" s="292"/>
      <c r="F55" s="300" t="s">
        <v>353</v>
      </c>
      <c r="G55" s="307">
        <f t="shared" ref="G55:G60" si="6">G38*$G$44</f>
        <v>1.088E-6</v>
      </c>
      <c r="H55" s="307">
        <f>H38*G44</f>
        <v>1.7680000000000001E-6</v>
      </c>
      <c r="I55" s="306" t="s">
        <v>42</v>
      </c>
    </row>
    <row r="56" spans="1:9" x14ac:dyDescent="0.25">
      <c r="A56" s="300" t="s">
        <v>347</v>
      </c>
      <c r="B56" s="307">
        <f t="shared" si="5"/>
        <v>2.3999999999999998E-3</v>
      </c>
      <c r="C56" s="305"/>
      <c r="D56" s="306" t="s">
        <v>42</v>
      </c>
      <c r="E56" s="292"/>
      <c r="F56" s="300" t="s">
        <v>354</v>
      </c>
      <c r="G56" s="307">
        <f t="shared" si="6"/>
        <v>6.8000000000000013E-5</v>
      </c>
      <c r="H56" s="305"/>
      <c r="I56" s="306" t="s">
        <v>42</v>
      </c>
    </row>
    <row r="57" spans="1:9" x14ac:dyDescent="0.25">
      <c r="A57" s="300" t="s">
        <v>348</v>
      </c>
      <c r="B57" s="307">
        <f t="shared" si="5"/>
        <v>5.0000000000000001E-3</v>
      </c>
      <c r="C57" s="305"/>
      <c r="D57" s="306" t="s">
        <v>42</v>
      </c>
      <c r="E57" s="292"/>
      <c r="F57" s="300" t="s">
        <v>355</v>
      </c>
      <c r="G57" s="307">
        <f t="shared" si="6"/>
        <v>2.0400000000000003E-4</v>
      </c>
      <c r="H57" s="305"/>
      <c r="I57" s="306" t="s">
        <v>42</v>
      </c>
    </row>
    <row r="58" spans="1:9" x14ac:dyDescent="0.25">
      <c r="A58" s="300" t="s">
        <v>350</v>
      </c>
      <c r="B58" s="307">
        <v>8</v>
      </c>
      <c r="C58" s="307">
        <v>13</v>
      </c>
      <c r="D58" s="306" t="s">
        <v>42</v>
      </c>
      <c r="E58" s="292"/>
      <c r="F58" s="300" t="s">
        <v>356</v>
      </c>
      <c r="G58" s="307">
        <f t="shared" si="6"/>
        <v>3.4000000000000007E-5</v>
      </c>
      <c r="H58" s="305"/>
      <c r="I58" s="306" t="s">
        <v>42</v>
      </c>
    </row>
    <row r="59" spans="1:9" x14ac:dyDescent="0.25">
      <c r="A59" s="304" t="s">
        <v>362</v>
      </c>
      <c r="B59" s="305"/>
      <c r="C59" s="305"/>
      <c r="D59" s="306"/>
      <c r="E59" s="292"/>
      <c r="F59" s="300" t="s">
        <v>350</v>
      </c>
      <c r="G59" s="307">
        <f t="shared" si="6"/>
        <v>0.54400000000000004</v>
      </c>
      <c r="H59" s="307">
        <f>H42*$G$44</f>
        <v>0.88400000000000012</v>
      </c>
      <c r="I59" s="306" t="s">
        <v>42</v>
      </c>
    </row>
    <row r="60" spans="1:9" ht="15.75" thickBot="1" x14ac:dyDescent="0.3">
      <c r="A60" s="300" t="s">
        <v>301</v>
      </c>
      <c r="B60" s="307">
        <v>0.42</v>
      </c>
      <c r="C60" s="305"/>
      <c r="D60" s="306" t="s">
        <v>299</v>
      </c>
      <c r="E60" s="292"/>
      <c r="F60" s="310" t="s">
        <v>357</v>
      </c>
      <c r="G60" s="311">
        <f t="shared" si="6"/>
        <v>3.8080000000000002E-6</v>
      </c>
      <c r="H60" s="311">
        <f>H43*$G$44</f>
        <v>5.1680000000000003E-6</v>
      </c>
      <c r="I60" s="312" t="s">
        <v>42</v>
      </c>
    </row>
    <row r="61" spans="1:9" x14ac:dyDescent="0.25">
      <c r="A61" s="300" t="s">
        <v>349</v>
      </c>
      <c r="B61" s="307">
        <f>B37/1000</f>
        <v>1.84E-2</v>
      </c>
      <c r="C61" s="305"/>
      <c r="D61" s="306" t="s">
        <v>42</v>
      </c>
      <c r="E61" s="292"/>
    </row>
    <row r="62" spans="1:9" x14ac:dyDescent="0.25">
      <c r="A62" s="300" t="s">
        <v>350</v>
      </c>
      <c r="B62" s="307">
        <v>8</v>
      </c>
      <c r="C62" s="307">
        <v>13</v>
      </c>
      <c r="D62" s="306" t="s">
        <v>42</v>
      </c>
      <c r="E62" s="292"/>
    </row>
    <row r="63" spans="1:9" x14ac:dyDescent="0.25">
      <c r="A63" s="304" t="s">
        <v>344</v>
      </c>
      <c r="B63" s="305"/>
      <c r="C63" s="305"/>
      <c r="D63" s="306"/>
      <c r="E63" s="292"/>
    </row>
    <row r="64" spans="1:9" x14ac:dyDescent="0.25">
      <c r="A64" s="300" t="s">
        <v>351</v>
      </c>
      <c r="B64" s="305">
        <v>1.405</v>
      </c>
      <c r="C64" s="305">
        <v>1.7350000000000001</v>
      </c>
      <c r="D64" s="306" t="s">
        <v>42</v>
      </c>
      <c r="E64" s="292"/>
    </row>
    <row r="65" spans="1:9" x14ac:dyDescent="0.25">
      <c r="A65" s="300" t="s">
        <v>301</v>
      </c>
      <c r="B65" s="305">
        <v>6.4180000000000001</v>
      </c>
      <c r="C65" s="305">
        <v>8.7110000000000003</v>
      </c>
      <c r="D65" s="306" t="s">
        <v>299</v>
      </c>
      <c r="E65" s="292"/>
    </row>
    <row r="66" spans="1:9" x14ac:dyDescent="0.25">
      <c r="A66" s="308" t="s">
        <v>339</v>
      </c>
      <c r="B66" s="242" t="s">
        <v>60</v>
      </c>
      <c r="C66" s="242" t="s">
        <v>306</v>
      </c>
      <c r="D66" s="309" t="s">
        <v>63</v>
      </c>
      <c r="E66" s="292"/>
    </row>
    <row r="67" spans="1:9" x14ac:dyDescent="0.25">
      <c r="A67" s="304" t="s">
        <v>93</v>
      </c>
      <c r="B67" s="305"/>
      <c r="C67" s="305"/>
      <c r="D67" s="306"/>
      <c r="E67" s="292"/>
    </row>
    <row r="68" spans="1:9" x14ac:dyDescent="0.25">
      <c r="A68" s="300" t="s">
        <v>353</v>
      </c>
      <c r="B68" s="307">
        <f>B44/1000000</f>
        <v>1.5999999999999999E-5</v>
      </c>
      <c r="C68" s="307">
        <f>C44/1000000</f>
        <v>2.5999999999999998E-5</v>
      </c>
      <c r="D68" s="306" t="s">
        <v>42</v>
      </c>
      <c r="E68" s="292"/>
    </row>
    <row r="69" spans="1:9" x14ac:dyDescent="0.25">
      <c r="A69" s="300" t="s">
        <v>354</v>
      </c>
      <c r="B69" s="307">
        <f>B45/1000</f>
        <v>1E-3</v>
      </c>
      <c r="C69" s="307"/>
      <c r="D69" s="306" t="s">
        <v>42</v>
      </c>
      <c r="E69" s="292"/>
    </row>
    <row r="70" spans="1:9" x14ac:dyDescent="0.25">
      <c r="A70" s="300" t="s">
        <v>355</v>
      </c>
      <c r="B70" s="307">
        <f>B46/1000</f>
        <v>3.0000000000000001E-3</v>
      </c>
      <c r="C70" s="307"/>
      <c r="D70" s="306" t="s">
        <v>42</v>
      </c>
      <c r="E70" s="292"/>
    </row>
    <row r="71" spans="1:9" x14ac:dyDescent="0.25">
      <c r="A71" s="300" t="s">
        <v>356</v>
      </c>
      <c r="B71" s="307">
        <f>B47/1000</f>
        <v>5.0000000000000001E-4</v>
      </c>
      <c r="C71" s="307"/>
      <c r="D71" s="306" t="s">
        <v>42</v>
      </c>
      <c r="E71" s="292"/>
    </row>
    <row r="72" spans="1:9" x14ac:dyDescent="0.25">
      <c r="A72" s="300" t="s">
        <v>350</v>
      </c>
      <c r="B72" s="307">
        <v>8</v>
      </c>
      <c r="C72" s="307">
        <v>13</v>
      </c>
      <c r="D72" s="306" t="s">
        <v>42</v>
      </c>
      <c r="E72" s="292"/>
    </row>
    <row r="73" spans="1:9" x14ac:dyDescent="0.25">
      <c r="A73" s="304" t="s">
        <v>84</v>
      </c>
      <c r="B73" s="305"/>
      <c r="C73" s="305"/>
      <c r="D73" s="306"/>
      <c r="E73" s="292"/>
    </row>
    <row r="74" spans="1:9" ht="15.75" thickBot="1" x14ac:dyDescent="0.3">
      <c r="A74" s="313" t="s">
        <v>357</v>
      </c>
      <c r="B74" s="311">
        <f>B50/1000</f>
        <v>5.5999999999999999E-5</v>
      </c>
      <c r="C74" s="311">
        <f>C50/1000</f>
        <v>7.6000000000000004E-5</v>
      </c>
      <c r="D74" s="312" t="s">
        <v>42</v>
      </c>
      <c r="E74" s="292"/>
      <c r="F74" s="292"/>
      <c r="G74" s="292"/>
      <c r="H74" s="292"/>
      <c r="I74" s="292"/>
    </row>
  </sheetData>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heetViews>
  <sheetFormatPr defaultColWidth="9.140625" defaultRowHeight="12.75" x14ac:dyDescent="0.2"/>
  <cols>
    <col min="1" max="3" width="9.140625" style="220"/>
    <col min="4" max="4" width="13.42578125" style="220" bestFit="1" customWidth="1"/>
    <col min="5" max="5" width="16.42578125" style="220" bestFit="1" customWidth="1"/>
    <col min="6" max="6" width="23.42578125" style="220" customWidth="1"/>
    <col min="7" max="7" width="11" style="220" bestFit="1" customWidth="1"/>
    <col min="8" max="259" width="9.140625" style="220"/>
    <col min="260" max="260" width="13.42578125" style="220" bestFit="1" customWidth="1"/>
    <col min="261" max="261" width="16.42578125" style="220" bestFit="1" customWidth="1"/>
    <col min="262" max="262" width="23.42578125" style="220" customWidth="1"/>
    <col min="263" max="263" width="11" style="220" bestFit="1" customWidth="1"/>
    <col min="264" max="515" width="9.140625" style="220"/>
    <col min="516" max="516" width="13.42578125" style="220" bestFit="1" customWidth="1"/>
    <col min="517" max="517" width="16.42578125" style="220" bestFit="1" customWidth="1"/>
    <col min="518" max="518" width="23.42578125" style="220" customWidth="1"/>
    <col min="519" max="519" width="11" style="220" bestFit="1" customWidth="1"/>
    <col min="520" max="771" width="9.140625" style="220"/>
    <col min="772" max="772" width="13.42578125" style="220" bestFit="1" customWidth="1"/>
    <col min="773" max="773" width="16.42578125" style="220" bestFit="1" customWidth="1"/>
    <col min="774" max="774" width="23.42578125" style="220" customWidth="1"/>
    <col min="775" max="775" width="11" style="220" bestFit="1" customWidth="1"/>
    <col min="776" max="1027" width="9.140625" style="220"/>
    <col min="1028" max="1028" width="13.42578125" style="220" bestFit="1" customWidth="1"/>
    <col min="1029" max="1029" width="16.42578125" style="220" bestFit="1" customWidth="1"/>
    <col min="1030" max="1030" width="23.42578125" style="220" customWidth="1"/>
    <col min="1031" max="1031" width="11" style="220" bestFit="1" customWidth="1"/>
    <col min="1032" max="1283" width="9.140625" style="220"/>
    <col min="1284" max="1284" width="13.42578125" style="220" bestFit="1" customWidth="1"/>
    <col min="1285" max="1285" width="16.42578125" style="220" bestFit="1" customWidth="1"/>
    <col min="1286" max="1286" width="23.42578125" style="220" customWidth="1"/>
    <col min="1287" max="1287" width="11" style="220" bestFit="1" customWidth="1"/>
    <col min="1288" max="1539" width="9.140625" style="220"/>
    <col min="1540" max="1540" width="13.42578125" style="220" bestFit="1" customWidth="1"/>
    <col min="1541" max="1541" width="16.42578125" style="220" bestFit="1" customWidth="1"/>
    <col min="1542" max="1542" width="23.42578125" style="220" customWidth="1"/>
    <col min="1543" max="1543" width="11" style="220" bestFit="1" customWidth="1"/>
    <col min="1544" max="1795" width="9.140625" style="220"/>
    <col min="1796" max="1796" width="13.42578125" style="220" bestFit="1" customWidth="1"/>
    <col min="1797" max="1797" width="16.42578125" style="220" bestFit="1" customWidth="1"/>
    <col min="1798" max="1798" width="23.42578125" style="220" customWidth="1"/>
    <col min="1799" max="1799" width="11" style="220" bestFit="1" customWidth="1"/>
    <col min="1800" max="2051" width="9.140625" style="220"/>
    <col min="2052" max="2052" width="13.42578125" style="220" bestFit="1" customWidth="1"/>
    <col min="2053" max="2053" width="16.42578125" style="220" bestFit="1" customWidth="1"/>
    <col min="2054" max="2054" width="23.42578125" style="220" customWidth="1"/>
    <col min="2055" max="2055" width="11" style="220" bestFit="1" customWidth="1"/>
    <col min="2056" max="2307" width="9.140625" style="220"/>
    <col min="2308" max="2308" width="13.42578125" style="220" bestFit="1" customWidth="1"/>
    <col min="2309" max="2309" width="16.42578125" style="220" bestFit="1" customWidth="1"/>
    <col min="2310" max="2310" width="23.42578125" style="220" customWidth="1"/>
    <col min="2311" max="2311" width="11" style="220" bestFit="1" customWidth="1"/>
    <col min="2312" max="2563" width="9.140625" style="220"/>
    <col min="2564" max="2564" width="13.42578125" style="220" bestFit="1" customWidth="1"/>
    <col min="2565" max="2565" width="16.42578125" style="220" bestFit="1" customWidth="1"/>
    <col min="2566" max="2566" width="23.42578125" style="220" customWidth="1"/>
    <col min="2567" max="2567" width="11" style="220" bestFit="1" customWidth="1"/>
    <col min="2568" max="2819" width="9.140625" style="220"/>
    <col min="2820" max="2820" width="13.42578125" style="220" bestFit="1" customWidth="1"/>
    <col min="2821" max="2821" width="16.42578125" style="220" bestFit="1" customWidth="1"/>
    <col min="2822" max="2822" width="23.42578125" style="220" customWidth="1"/>
    <col min="2823" max="2823" width="11" style="220" bestFit="1" customWidth="1"/>
    <col min="2824" max="3075" width="9.140625" style="220"/>
    <col min="3076" max="3076" width="13.42578125" style="220" bestFit="1" customWidth="1"/>
    <col min="3077" max="3077" width="16.42578125" style="220" bestFit="1" customWidth="1"/>
    <col min="3078" max="3078" width="23.42578125" style="220" customWidth="1"/>
    <col min="3079" max="3079" width="11" style="220" bestFit="1" customWidth="1"/>
    <col min="3080" max="3331" width="9.140625" style="220"/>
    <col min="3332" max="3332" width="13.42578125" style="220" bestFit="1" customWidth="1"/>
    <col min="3333" max="3333" width="16.42578125" style="220" bestFit="1" customWidth="1"/>
    <col min="3334" max="3334" width="23.42578125" style="220" customWidth="1"/>
    <col min="3335" max="3335" width="11" style="220" bestFit="1" customWidth="1"/>
    <col min="3336" max="3587" width="9.140625" style="220"/>
    <col min="3588" max="3588" width="13.42578125" style="220" bestFit="1" customWidth="1"/>
    <col min="3589" max="3589" width="16.42578125" style="220" bestFit="1" customWidth="1"/>
    <col min="3590" max="3590" width="23.42578125" style="220" customWidth="1"/>
    <col min="3591" max="3591" width="11" style="220" bestFit="1" customWidth="1"/>
    <col min="3592" max="3843" width="9.140625" style="220"/>
    <col min="3844" max="3844" width="13.42578125" style="220" bestFit="1" customWidth="1"/>
    <col min="3845" max="3845" width="16.42578125" style="220" bestFit="1" customWidth="1"/>
    <col min="3846" max="3846" width="23.42578125" style="220" customWidth="1"/>
    <col min="3847" max="3847" width="11" style="220" bestFit="1" customWidth="1"/>
    <col min="3848" max="4099" width="9.140625" style="220"/>
    <col min="4100" max="4100" width="13.42578125" style="220" bestFit="1" customWidth="1"/>
    <col min="4101" max="4101" width="16.42578125" style="220" bestFit="1" customWidth="1"/>
    <col min="4102" max="4102" width="23.42578125" style="220" customWidth="1"/>
    <col min="4103" max="4103" width="11" style="220" bestFit="1" customWidth="1"/>
    <col min="4104" max="4355" width="9.140625" style="220"/>
    <col min="4356" max="4356" width="13.42578125" style="220" bestFit="1" customWidth="1"/>
    <col min="4357" max="4357" width="16.42578125" style="220" bestFit="1" customWidth="1"/>
    <col min="4358" max="4358" width="23.42578125" style="220" customWidth="1"/>
    <col min="4359" max="4359" width="11" style="220" bestFit="1" customWidth="1"/>
    <col min="4360" max="4611" width="9.140625" style="220"/>
    <col min="4612" max="4612" width="13.42578125" style="220" bestFit="1" customWidth="1"/>
    <col min="4613" max="4613" width="16.42578125" style="220" bestFit="1" customWidth="1"/>
    <col min="4614" max="4614" width="23.42578125" style="220" customWidth="1"/>
    <col min="4615" max="4615" width="11" style="220" bestFit="1" customWidth="1"/>
    <col min="4616" max="4867" width="9.140625" style="220"/>
    <col min="4868" max="4868" width="13.42578125" style="220" bestFit="1" customWidth="1"/>
    <col min="4869" max="4869" width="16.42578125" style="220" bestFit="1" customWidth="1"/>
    <col min="4870" max="4870" width="23.42578125" style="220" customWidth="1"/>
    <col min="4871" max="4871" width="11" style="220" bestFit="1" customWidth="1"/>
    <col min="4872" max="5123" width="9.140625" style="220"/>
    <col min="5124" max="5124" width="13.42578125" style="220" bestFit="1" customWidth="1"/>
    <col min="5125" max="5125" width="16.42578125" style="220" bestFit="1" customWidth="1"/>
    <col min="5126" max="5126" width="23.42578125" style="220" customWidth="1"/>
    <col min="5127" max="5127" width="11" style="220" bestFit="1" customWidth="1"/>
    <col min="5128" max="5379" width="9.140625" style="220"/>
    <col min="5380" max="5380" width="13.42578125" style="220" bestFit="1" customWidth="1"/>
    <col min="5381" max="5381" width="16.42578125" style="220" bestFit="1" customWidth="1"/>
    <col min="5382" max="5382" width="23.42578125" style="220" customWidth="1"/>
    <col min="5383" max="5383" width="11" style="220" bestFit="1" customWidth="1"/>
    <col min="5384" max="5635" width="9.140625" style="220"/>
    <col min="5636" max="5636" width="13.42578125" style="220" bestFit="1" customWidth="1"/>
    <col min="5637" max="5637" width="16.42578125" style="220" bestFit="1" customWidth="1"/>
    <col min="5638" max="5638" width="23.42578125" style="220" customWidth="1"/>
    <col min="5639" max="5639" width="11" style="220" bestFit="1" customWidth="1"/>
    <col min="5640" max="5891" width="9.140625" style="220"/>
    <col min="5892" max="5892" width="13.42578125" style="220" bestFit="1" customWidth="1"/>
    <col min="5893" max="5893" width="16.42578125" style="220" bestFit="1" customWidth="1"/>
    <col min="5894" max="5894" width="23.42578125" style="220" customWidth="1"/>
    <col min="5895" max="5895" width="11" style="220" bestFit="1" customWidth="1"/>
    <col min="5896" max="6147" width="9.140625" style="220"/>
    <col min="6148" max="6148" width="13.42578125" style="220" bestFit="1" customWidth="1"/>
    <col min="6149" max="6149" width="16.42578125" style="220" bestFit="1" customWidth="1"/>
    <col min="6150" max="6150" width="23.42578125" style="220" customWidth="1"/>
    <col min="6151" max="6151" width="11" style="220" bestFit="1" customWidth="1"/>
    <col min="6152" max="6403" width="9.140625" style="220"/>
    <col min="6404" max="6404" width="13.42578125" style="220" bestFit="1" customWidth="1"/>
    <col min="6405" max="6405" width="16.42578125" style="220" bestFit="1" customWidth="1"/>
    <col min="6406" max="6406" width="23.42578125" style="220" customWidth="1"/>
    <col min="6407" max="6407" width="11" style="220" bestFit="1" customWidth="1"/>
    <col min="6408" max="6659" width="9.140625" style="220"/>
    <col min="6660" max="6660" width="13.42578125" style="220" bestFit="1" customWidth="1"/>
    <col min="6661" max="6661" width="16.42578125" style="220" bestFit="1" customWidth="1"/>
    <col min="6662" max="6662" width="23.42578125" style="220" customWidth="1"/>
    <col min="6663" max="6663" width="11" style="220" bestFit="1" customWidth="1"/>
    <col min="6664" max="6915" width="9.140625" style="220"/>
    <col min="6916" max="6916" width="13.42578125" style="220" bestFit="1" customWidth="1"/>
    <col min="6917" max="6917" width="16.42578125" style="220" bestFit="1" customWidth="1"/>
    <col min="6918" max="6918" width="23.42578125" style="220" customWidth="1"/>
    <col min="6919" max="6919" width="11" style="220" bestFit="1" customWidth="1"/>
    <col min="6920" max="7171" width="9.140625" style="220"/>
    <col min="7172" max="7172" width="13.42578125" style="220" bestFit="1" customWidth="1"/>
    <col min="7173" max="7173" width="16.42578125" style="220" bestFit="1" customWidth="1"/>
    <col min="7174" max="7174" width="23.42578125" style="220" customWidth="1"/>
    <col min="7175" max="7175" width="11" style="220" bestFit="1" customWidth="1"/>
    <col min="7176" max="7427" width="9.140625" style="220"/>
    <col min="7428" max="7428" width="13.42578125" style="220" bestFit="1" customWidth="1"/>
    <col min="7429" max="7429" width="16.42578125" style="220" bestFit="1" customWidth="1"/>
    <col min="7430" max="7430" width="23.42578125" style="220" customWidth="1"/>
    <col min="7431" max="7431" width="11" style="220" bestFit="1" customWidth="1"/>
    <col min="7432" max="7683" width="9.140625" style="220"/>
    <col min="7684" max="7684" width="13.42578125" style="220" bestFit="1" customWidth="1"/>
    <col min="7685" max="7685" width="16.42578125" style="220" bestFit="1" customWidth="1"/>
    <col min="7686" max="7686" width="23.42578125" style="220" customWidth="1"/>
    <col min="7687" max="7687" width="11" style="220" bestFit="1" customWidth="1"/>
    <col min="7688" max="7939" width="9.140625" style="220"/>
    <col min="7940" max="7940" width="13.42578125" style="220" bestFit="1" customWidth="1"/>
    <col min="7941" max="7941" width="16.42578125" style="220" bestFit="1" customWidth="1"/>
    <col min="7942" max="7942" width="23.42578125" style="220" customWidth="1"/>
    <col min="7943" max="7943" width="11" style="220" bestFit="1" customWidth="1"/>
    <col min="7944" max="8195" width="9.140625" style="220"/>
    <col min="8196" max="8196" width="13.42578125" style="220" bestFit="1" customWidth="1"/>
    <col min="8197" max="8197" width="16.42578125" style="220" bestFit="1" customWidth="1"/>
    <col min="8198" max="8198" width="23.42578125" style="220" customWidth="1"/>
    <col min="8199" max="8199" width="11" style="220" bestFit="1" customWidth="1"/>
    <col min="8200" max="8451" width="9.140625" style="220"/>
    <col min="8452" max="8452" width="13.42578125" style="220" bestFit="1" customWidth="1"/>
    <col min="8453" max="8453" width="16.42578125" style="220" bestFit="1" customWidth="1"/>
    <col min="8454" max="8454" width="23.42578125" style="220" customWidth="1"/>
    <col min="8455" max="8455" width="11" style="220" bestFit="1" customWidth="1"/>
    <col min="8456" max="8707" width="9.140625" style="220"/>
    <col min="8708" max="8708" width="13.42578125" style="220" bestFit="1" customWidth="1"/>
    <col min="8709" max="8709" width="16.42578125" style="220" bestFit="1" customWidth="1"/>
    <col min="8710" max="8710" width="23.42578125" style="220" customWidth="1"/>
    <col min="8711" max="8711" width="11" style="220" bestFit="1" customWidth="1"/>
    <col min="8712" max="8963" width="9.140625" style="220"/>
    <col min="8964" max="8964" width="13.42578125" style="220" bestFit="1" customWidth="1"/>
    <col min="8965" max="8965" width="16.42578125" style="220" bestFit="1" customWidth="1"/>
    <col min="8966" max="8966" width="23.42578125" style="220" customWidth="1"/>
    <col min="8967" max="8967" width="11" style="220" bestFit="1" customWidth="1"/>
    <col min="8968" max="9219" width="9.140625" style="220"/>
    <col min="9220" max="9220" width="13.42578125" style="220" bestFit="1" customWidth="1"/>
    <col min="9221" max="9221" width="16.42578125" style="220" bestFit="1" customWidth="1"/>
    <col min="9222" max="9222" width="23.42578125" style="220" customWidth="1"/>
    <col min="9223" max="9223" width="11" style="220" bestFit="1" customWidth="1"/>
    <col min="9224" max="9475" width="9.140625" style="220"/>
    <col min="9476" max="9476" width="13.42578125" style="220" bestFit="1" customWidth="1"/>
    <col min="9477" max="9477" width="16.42578125" style="220" bestFit="1" customWidth="1"/>
    <col min="9478" max="9478" width="23.42578125" style="220" customWidth="1"/>
    <col min="9479" max="9479" width="11" style="220" bestFit="1" customWidth="1"/>
    <col min="9480" max="9731" width="9.140625" style="220"/>
    <col min="9732" max="9732" width="13.42578125" style="220" bestFit="1" customWidth="1"/>
    <col min="9733" max="9733" width="16.42578125" style="220" bestFit="1" customWidth="1"/>
    <col min="9734" max="9734" width="23.42578125" style="220" customWidth="1"/>
    <col min="9735" max="9735" width="11" style="220" bestFit="1" customWidth="1"/>
    <col min="9736" max="9987" width="9.140625" style="220"/>
    <col min="9988" max="9988" width="13.42578125" style="220" bestFit="1" customWidth="1"/>
    <col min="9989" max="9989" width="16.42578125" style="220" bestFit="1" customWidth="1"/>
    <col min="9990" max="9990" width="23.42578125" style="220" customWidth="1"/>
    <col min="9991" max="9991" width="11" style="220" bestFit="1" customWidth="1"/>
    <col min="9992" max="10243" width="9.140625" style="220"/>
    <col min="10244" max="10244" width="13.42578125" style="220" bestFit="1" customWidth="1"/>
    <col min="10245" max="10245" width="16.42578125" style="220" bestFit="1" customWidth="1"/>
    <col min="10246" max="10246" width="23.42578125" style="220" customWidth="1"/>
    <col min="10247" max="10247" width="11" style="220" bestFit="1" customWidth="1"/>
    <col min="10248" max="10499" width="9.140625" style="220"/>
    <col min="10500" max="10500" width="13.42578125" style="220" bestFit="1" customWidth="1"/>
    <col min="10501" max="10501" width="16.42578125" style="220" bestFit="1" customWidth="1"/>
    <col min="10502" max="10502" width="23.42578125" style="220" customWidth="1"/>
    <col min="10503" max="10503" width="11" style="220" bestFit="1" customWidth="1"/>
    <col min="10504" max="10755" width="9.140625" style="220"/>
    <col min="10756" max="10756" width="13.42578125" style="220" bestFit="1" customWidth="1"/>
    <col min="10757" max="10757" width="16.42578125" style="220" bestFit="1" customWidth="1"/>
    <col min="10758" max="10758" width="23.42578125" style="220" customWidth="1"/>
    <col min="10759" max="10759" width="11" style="220" bestFit="1" customWidth="1"/>
    <col min="10760" max="11011" width="9.140625" style="220"/>
    <col min="11012" max="11012" width="13.42578125" style="220" bestFit="1" customWidth="1"/>
    <col min="11013" max="11013" width="16.42578125" style="220" bestFit="1" customWidth="1"/>
    <col min="11014" max="11014" width="23.42578125" style="220" customWidth="1"/>
    <col min="11015" max="11015" width="11" style="220" bestFit="1" customWidth="1"/>
    <col min="11016" max="11267" width="9.140625" style="220"/>
    <col min="11268" max="11268" width="13.42578125" style="220" bestFit="1" customWidth="1"/>
    <col min="11269" max="11269" width="16.42578125" style="220" bestFit="1" customWidth="1"/>
    <col min="11270" max="11270" width="23.42578125" style="220" customWidth="1"/>
    <col min="11271" max="11271" width="11" style="220" bestFit="1" customWidth="1"/>
    <col min="11272" max="11523" width="9.140625" style="220"/>
    <col min="11524" max="11524" width="13.42578125" style="220" bestFit="1" customWidth="1"/>
    <col min="11525" max="11525" width="16.42578125" style="220" bestFit="1" customWidth="1"/>
    <col min="11526" max="11526" width="23.42578125" style="220" customWidth="1"/>
    <col min="11527" max="11527" width="11" style="220" bestFit="1" customWidth="1"/>
    <col min="11528" max="11779" width="9.140625" style="220"/>
    <col min="11780" max="11780" width="13.42578125" style="220" bestFit="1" customWidth="1"/>
    <col min="11781" max="11781" width="16.42578125" style="220" bestFit="1" customWidth="1"/>
    <col min="11782" max="11782" width="23.42578125" style="220" customWidth="1"/>
    <col min="11783" max="11783" width="11" style="220" bestFit="1" customWidth="1"/>
    <col min="11784" max="12035" width="9.140625" style="220"/>
    <col min="12036" max="12036" width="13.42578125" style="220" bestFit="1" customWidth="1"/>
    <col min="12037" max="12037" width="16.42578125" style="220" bestFit="1" customWidth="1"/>
    <col min="12038" max="12038" width="23.42578125" style="220" customWidth="1"/>
    <col min="12039" max="12039" width="11" style="220" bestFit="1" customWidth="1"/>
    <col min="12040" max="12291" width="9.140625" style="220"/>
    <col min="12292" max="12292" width="13.42578125" style="220" bestFit="1" customWidth="1"/>
    <col min="12293" max="12293" width="16.42578125" style="220" bestFit="1" customWidth="1"/>
    <col min="12294" max="12294" width="23.42578125" style="220" customWidth="1"/>
    <col min="12295" max="12295" width="11" style="220" bestFit="1" customWidth="1"/>
    <col min="12296" max="12547" width="9.140625" style="220"/>
    <col min="12548" max="12548" width="13.42578125" style="220" bestFit="1" customWidth="1"/>
    <col min="12549" max="12549" width="16.42578125" style="220" bestFit="1" customWidth="1"/>
    <col min="12550" max="12550" width="23.42578125" style="220" customWidth="1"/>
    <col min="12551" max="12551" width="11" style="220" bestFit="1" customWidth="1"/>
    <col min="12552" max="12803" width="9.140625" style="220"/>
    <col min="12804" max="12804" width="13.42578125" style="220" bestFit="1" customWidth="1"/>
    <col min="12805" max="12805" width="16.42578125" style="220" bestFit="1" customWidth="1"/>
    <col min="12806" max="12806" width="23.42578125" style="220" customWidth="1"/>
    <col min="12807" max="12807" width="11" style="220" bestFit="1" customWidth="1"/>
    <col min="12808" max="13059" width="9.140625" style="220"/>
    <col min="13060" max="13060" width="13.42578125" style="220" bestFit="1" customWidth="1"/>
    <col min="13061" max="13061" width="16.42578125" style="220" bestFit="1" customWidth="1"/>
    <col min="13062" max="13062" width="23.42578125" style="220" customWidth="1"/>
    <col min="13063" max="13063" width="11" style="220" bestFit="1" customWidth="1"/>
    <col min="13064" max="13315" width="9.140625" style="220"/>
    <col min="13316" max="13316" width="13.42578125" style="220" bestFit="1" customWidth="1"/>
    <col min="13317" max="13317" width="16.42578125" style="220" bestFit="1" customWidth="1"/>
    <col min="13318" max="13318" width="23.42578125" style="220" customWidth="1"/>
    <col min="13319" max="13319" width="11" style="220" bestFit="1" customWidth="1"/>
    <col min="13320" max="13571" width="9.140625" style="220"/>
    <col min="13572" max="13572" width="13.42578125" style="220" bestFit="1" customWidth="1"/>
    <col min="13573" max="13573" width="16.42578125" style="220" bestFit="1" customWidth="1"/>
    <col min="13574" max="13574" width="23.42578125" style="220" customWidth="1"/>
    <col min="13575" max="13575" width="11" style="220" bestFit="1" customWidth="1"/>
    <col min="13576" max="13827" width="9.140625" style="220"/>
    <col min="13828" max="13828" width="13.42578125" style="220" bestFit="1" customWidth="1"/>
    <col min="13829" max="13829" width="16.42578125" style="220" bestFit="1" customWidth="1"/>
    <col min="13830" max="13830" width="23.42578125" style="220" customWidth="1"/>
    <col min="13831" max="13831" width="11" style="220" bestFit="1" customWidth="1"/>
    <col min="13832" max="14083" width="9.140625" style="220"/>
    <col min="14084" max="14084" width="13.42578125" style="220" bestFit="1" customWidth="1"/>
    <col min="14085" max="14085" width="16.42578125" style="220" bestFit="1" customWidth="1"/>
    <col min="14086" max="14086" width="23.42578125" style="220" customWidth="1"/>
    <col min="14087" max="14087" width="11" style="220" bestFit="1" customWidth="1"/>
    <col min="14088" max="14339" width="9.140625" style="220"/>
    <col min="14340" max="14340" width="13.42578125" style="220" bestFit="1" customWidth="1"/>
    <col min="14341" max="14341" width="16.42578125" style="220" bestFit="1" customWidth="1"/>
    <col min="14342" max="14342" width="23.42578125" style="220" customWidth="1"/>
    <col min="14343" max="14343" width="11" style="220" bestFit="1" customWidth="1"/>
    <col min="14344" max="14595" width="9.140625" style="220"/>
    <col min="14596" max="14596" width="13.42578125" style="220" bestFit="1" customWidth="1"/>
    <col min="14597" max="14597" width="16.42578125" style="220" bestFit="1" customWidth="1"/>
    <col min="14598" max="14598" width="23.42578125" style="220" customWidth="1"/>
    <col min="14599" max="14599" width="11" style="220" bestFit="1" customWidth="1"/>
    <col min="14600" max="14851" width="9.140625" style="220"/>
    <col min="14852" max="14852" width="13.42578125" style="220" bestFit="1" customWidth="1"/>
    <col min="14853" max="14853" width="16.42578125" style="220" bestFit="1" customWidth="1"/>
    <col min="14854" max="14854" width="23.42578125" style="220" customWidth="1"/>
    <col min="14855" max="14855" width="11" style="220" bestFit="1" customWidth="1"/>
    <col min="14856" max="15107" width="9.140625" style="220"/>
    <col min="15108" max="15108" width="13.42578125" style="220" bestFit="1" customWidth="1"/>
    <col min="15109" max="15109" width="16.42578125" style="220" bestFit="1" customWidth="1"/>
    <col min="15110" max="15110" width="23.42578125" style="220" customWidth="1"/>
    <col min="15111" max="15111" width="11" style="220" bestFit="1" customWidth="1"/>
    <col min="15112" max="15363" width="9.140625" style="220"/>
    <col min="15364" max="15364" width="13.42578125" style="220" bestFit="1" customWidth="1"/>
    <col min="15365" max="15365" width="16.42578125" style="220" bestFit="1" customWidth="1"/>
    <col min="15366" max="15366" width="23.42578125" style="220" customWidth="1"/>
    <col min="15367" max="15367" width="11" style="220" bestFit="1" customWidth="1"/>
    <col min="15368" max="15619" width="9.140625" style="220"/>
    <col min="15620" max="15620" width="13.42578125" style="220" bestFit="1" customWidth="1"/>
    <col min="15621" max="15621" width="16.42578125" style="220" bestFit="1" customWidth="1"/>
    <col min="15622" max="15622" width="23.42578125" style="220" customWidth="1"/>
    <col min="15623" max="15623" width="11" style="220" bestFit="1" customWidth="1"/>
    <col min="15624" max="15875" width="9.140625" style="220"/>
    <col min="15876" max="15876" width="13.42578125" style="220" bestFit="1" customWidth="1"/>
    <col min="15877" max="15877" width="16.42578125" style="220" bestFit="1" customWidth="1"/>
    <col min="15878" max="15878" width="23.42578125" style="220" customWidth="1"/>
    <col min="15879" max="15879" width="11" style="220" bestFit="1" customWidth="1"/>
    <col min="15880" max="16131" width="9.140625" style="220"/>
    <col min="16132" max="16132" width="13.42578125" style="220" bestFit="1" customWidth="1"/>
    <col min="16133" max="16133" width="16.42578125" style="220" bestFit="1" customWidth="1"/>
    <col min="16134" max="16134" width="23.42578125" style="220" customWidth="1"/>
    <col min="16135" max="16135" width="11" style="220" bestFit="1" customWidth="1"/>
    <col min="16136" max="16384" width="9.140625" style="220"/>
  </cols>
  <sheetData>
    <row r="1" spans="1:38" ht="20.25" x14ac:dyDescent="0.3">
      <c r="A1" s="221"/>
      <c r="B1" s="222"/>
      <c r="C1" s="221"/>
      <c r="D1" s="222"/>
      <c r="E1" s="221"/>
      <c r="F1" s="221"/>
      <c r="G1" s="221"/>
      <c r="H1" s="79" t="s">
        <v>20</v>
      </c>
      <c r="I1" s="223"/>
      <c r="J1" s="223"/>
      <c r="K1" s="223"/>
      <c r="L1" s="223"/>
      <c r="M1" s="223"/>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row>
    <row r="2" spans="1:38" x14ac:dyDescent="0.2">
      <c r="A2" s="223"/>
      <c r="B2" s="572"/>
      <c r="C2" s="572"/>
      <c r="D2" s="572"/>
      <c r="E2" s="572"/>
      <c r="F2" s="224"/>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38" x14ac:dyDescent="0.2">
      <c r="A3" s="223"/>
      <c r="B3" s="573" t="s">
        <v>244</v>
      </c>
      <c r="C3" s="573"/>
      <c r="D3" s="573"/>
      <c r="E3" s="573"/>
      <c r="F3" s="225" t="s">
        <v>64</v>
      </c>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row>
    <row r="4" spans="1:38" x14ac:dyDescent="0.2">
      <c r="A4" s="223"/>
      <c r="B4" s="223">
        <v>1</v>
      </c>
      <c r="C4" s="223" t="s">
        <v>336</v>
      </c>
      <c r="D4" s="223">
        <v>1000</v>
      </c>
      <c r="E4" s="223" t="s">
        <v>706</v>
      </c>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row>
    <row r="5" spans="1:38" x14ac:dyDescent="0.2">
      <c r="A5" s="223"/>
      <c r="B5" s="226"/>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1:38" x14ac:dyDescent="0.2">
      <c r="A6" s="223"/>
      <c r="B6" s="227"/>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row>
    <row r="7" spans="1:38" x14ac:dyDescent="0.2">
      <c r="A7" s="223"/>
      <c r="B7" s="226"/>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row>
    <row r="8" spans="1:38" x14ac:dyDescent="0.2">
      <c r="A8" s="223"/>
      <c r="B8" s="227"/>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row>
    <row r="9" spans="1:38" x14ac:dyDescent="0.2">
      <c r="A9" s="223"/>
      <c r="B9" s="226"/>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row>
    <row r="10" spans="1:38" x14ac:dyDescent="0.2">
      <c r="A10" s="223"/>
      <c r="B10" s="228"/>
      <c r="C10" s="223"/>
      <c r="D10" s="223"/>
      <c r="E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row>
    <row r="11" spans="1:38" x14ac:dyDescent="0.2">
      <c r="A11" s="223"/>
      <c r="B11" s="229"/>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row>
    <row r="12" spans="1:38" x14ac:dyDescent="0.2">
      <c r="A12" s="223"/>
      <c r="B12" s="230"/>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row>
    <row r="13" spans="1:38" x14ac:dyDescent="0.2">
      <c r="A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row>
    <row r="14" spans="1:38" x14ac:dyDescent="0.2">
      <c r="A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row>
    <row r="15" spans="1:38" x14ac:dyDescent="0.2">
      <c r="A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row>
    <row r="16" spans="1:38" x14ac:dyDescent="0.2">
      <c r="A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row>
    <row r="17" spans="1:38" x14ac:dyDescent="0.2">
      <c r="A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row>
    <row r="18" spans="1:38" x14ac:dyDescent="0.2">
      <c r="A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row>
    <row r="19" spans="1:38" x14ac:dyDescent="0.2">
      <c r="A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row>
    <row r="20" spans="1:38" x14ac:dyDescent="0.2">
      <c r="A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row>
    <row r="21" spans="1:38" x14ac:dyDescent="0.2">
      <c r="A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row>
    <row r="22" spans="1:38" x14ac:dyDescent="0.2">
      <c r="A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row>
    <row r="23" spans="1:38" x14ac:dyDescent="0.2">
      <c r="A23" s="223"/>
      <c r="B23" s="223"/>
      <c r="C23" s="223"/>
      <c r="D23" s="223"/>
      <c r="E23" s="223"/>
      <c r="F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row>
    <row r="24" spans="1:38" x14ac:dyDescent="0.2">
      <c r="A24" s="223"/>
      <c r="B24" s="223"/>
      <c r="C24" s="223"/>
      <c r="D24" s="223"/>
      <c r="E24" s="223"/>
      <c r="F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row>
    <row r="25" spans="1:38" x14ac:dyDescent="0.2">
      <c r="A25" s="223"/>
      <c r="B25" s="200"/>
      <c r="C25" s="231"/>
      <c r="D25" s="200"/>
      <c r="E25" s="200"/>
      <c r="F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row>
    <row r="26" spans="1:38" x14ac:dyDescent="0.2">
      <c r="A26" s="223"/>
      <c r="B26" s="232"/>
      <c r="C26" s="233"/>
      <c r="D26" s="200"/>
      <c r="E26" s="200"/>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row>
    <row r="27" spans="1:38" x14ac:dyDescent="0.2">
      <c r="A27" s="223"/>
      <c r="B27" s="232"/>
      <c r="C27" s="233"/>
      <c r="D27" s="200"/>
      <c r="E27" s="200"/>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row>
    <row r="28" spans="1:38" x14ac:dyDescent="0.2">
      <c r="A28" s="223"/>
      <c r="B28" s="232"/>
      <c r="C28" s="233"/>
      <c r="D28" s="200"/>
      <c r="E28" s="200"/>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row>
    <row r="29" spans="1:38" x14ac:dyDescent="0.2">
      <c r="B29" s="232"/>
      <c r="C29" s="223"/>
      <c r="D29" s="223"/>
      <c r="E29" s="223"/>
    </row>
    <row r="30" spans="1:38" x14ac:dyDescent="0.2">
      <c r="B30" s="232"/>
      <c r="C30" s="223"/>
      <c r="D30" s="223"/>
      <c r="E30" s="223"/>
    </row>
    <row r="31" spans="1:38" x14ac:dyDescent="0.2">
      <c r="B31" s="229"/>
      <c r="C31" s="223"/>
      <c r="D31" s="223"/>
      <c r="E31" s="223"/>
    </row>
    <row r="37" spans="10:10" x14ac:dyDescent="0.2">
      <c r="J37" s="234"/>
    </row>
  </sheetData>
  <mergeCells count="2">
    <mergeCell ref="B2:E2"/>
    <mergeCell ref="B3:E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E16" sqref="E16"/>
    </sheetView>
  </sheetViews>
  <sheetFormatPr defaultColWidth="9.140625" defaultRowHeight="12.75" x14ac:dyDescent="0.2"/>
  <cols>
    <col min="1" max="2" width="9.140625" style="3"/>
    <col min="3" max="3" width="13.140625" style="3" bestFit="1" customWidth="1"/>
    <col min="4" max="4" width="9.140625" style="3"/>
    <col min="5" max="5" width="17.28515625" style="3" customWidth="1"/>
    <col min="6" max="6" width="15.85546875" style="3" customWidth="1"/>
    <col min="7" max="7" width="19" style="3" customWidth="1"/>
    <col min="8" max="8" width="18.85546875" style="3" customWidth="1"/>
    <col min="9" max="9" width="19" style="3" customWidth="1"/>
    <col min="10" max="10" width="9.140625" style="3"/>
    <col min="11" max="11" width="20.7109375" style="3" customWidth="1"/>
    <col min="12" max="12" width="51.570312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24" t="s">
        <v>245</v>
      </c>
      <c r="D3" s="224" t="s">
        <v>9</v>
      </c>
    </row>
    <row r="4" spans="1:38" ht="15" x14ac:dyDescent="0.2">
      <c r="C4" s="235">
        <v>1</v>
      </c>
      <c r="D4" s="469" t="s">
        <v>718</v>
      </c>
      <c r="E4" s="574"/>
      <c r="F4" s="574"/>
      <c r="G4" s="574"/>
      <c r="H4" s="574"/>
      <c r="I4" s="574"/>
      <c r="J4" s="574"/>
      <c r="K4" s="574"/>
      <c r="L4" s="574"/>
    </row>
    <row r="5" spans="1:38" ht="15" x14ac:dyDescent="0.2">
      <c r="C5" s="235">
        <v>2</v>
      </c>
      <c r="D5" s="469" t="s">
        <v>719</v>
      </c>
      <c r="E5" s="574"/>
      <c r="F5" s="574"/>
      <c r="G5" s="574"/>
      <c r="H5" s="574"/>
      <c r="I5" s="574"/>
      <c r="J5" s="574"/>
      <c r="K5" s="574"/>
      <c r="L5" s="574"/>
    </row>
    <row r="6" spans="1:38" ht="15" x14ac:dyDescent="0.2">
      <c r="C6" s="235">
        <v>3</v>
      </c>
      <c r="D6" s="469" t="s">
        <v>720</v>
      </c>
      <c r="E6" s="574"/>
      <c r="F6" s="574"/>
      <c r="G6" s="574"/>
      <c r="H6" s="574"/>
      <c r="I6" s="574"/>
      <c r="J6" s="574"/>
      <c r="K6" s="574"/>
      <c r="L6" s="574"/>
    </row>
    <row r="7" spans="1:38" ht="15" x14ac:dyDescent="0.2">
      <c r="C7" s="235">
        <v>4</v>
      </c>
      <c r="D7" s="469" t="s">
        <v>721</v>
      </c>
      <c r="E7" s="574"/>
      <c r="F7" s="574"/>
      <c r="G7" s="574"/>
      <c r="H7" s="574"/>
      <c r="I7" s="574"/>
      <c r="J7" s="574"/>
      <c r="K7" s="574"/>
      <c r="L7" s="574"/>
    </row>
    <row r="8" spans="1:38" ht="15" x14ac:dyDescent="0.2">
      <c r="C8" s="235">
        <v>5</v>
      </c>
      <c r="D8" s="469" t="s">
        <v>722</v>
      </c>
      <c r="E8" s="574"/>
      <c r="F8" s="574"/>
      <c r="G8" s="574"/>
      <c r="H8" s="574"/>
      <c r="I8" s="574"/>
      <c r="J8" s="574"/>
      <c r="K8" s="574"/>
      <c r="L8" s="574"/>
    </row>
    <row r="9" spans="1:38" ht="15" x14ac:dyDescent="0.2">
      <c r="C9" s="235">
        <v>6</v>
      </c>
      <c r="D9" s="469" t="s">
        <v>723</v>
      </c>
      <c r="E9" s="574"/>
      <c r="F9" s="574"/>
      <c r="G9" s="574"/>
      <c r="H9" s="574"/>
      <c r="I9" s="574"/>
      <c r="J9" s="574"/>
      <c r="K9" s="574"/>
      <c r="L9" s="574"/>
    </row>
    <row r="10" spans="1:38" ht="15" x14ac:dyDescent="0.2">
      <c r="C10" s="235">
        <v>7</v>
      </c>
      <c r="D10" s="469" t="s">
        <v>724</v>
      </c>
      <c r="E10" s="574"/>
      <c r="F10" s="574"/>
      <c r="G10" s="574"/>
      <c r="H10" s="574"/>
      <c r="I10" s="574"/>
      <c r="J10" s="574"/>
      <c r="K10" s="574"/>
      <c r="L10" s="574"/>
    </row>
    <row r="11" spans="1:38" ht="15" x14ac:dyDescent="0.2">
      <c r="C11" s="235">
        <v>8</v>
      </c>
      <c r="D11" s="469" t="s">
        <v>725</v>
      </c>
      <c r="E11" s="574"/>
      <c r="F11" s="574"/>
      <c r="G11" s="574"/>
      <c r="H11" s="574"/>
      <c r="I11" s="574"/>
      <c r="J11" s="574"/>
      <c r="K11" s="574"/>
      <c r="L11" s="574"/>
    </row>
    <row r="12" spans="1:38" ht="15" x14ac:dyDescent="0.2">
      <c r="C12" s="235">
        <v>9</v>
      </c>
      <c r="D12" s="469" t="s">
        <v>944</v>
      </c>
      <c r="E12" s="574"/>
      <c r="F12" s="574"/>
      <c r="G12" s="574"/>
      <c r="H12" s="574"/>
      <c r="I12" s="574"/>
      <c r="J12" s="574"/>
      <c r="K12" s="574"/>
      <c r="L12" s="574"/>
    </row>
    <row r="13" spans="1:38" ht="15" x14ac:dyDescent="0.2">
      <c r="C13" s="235"/>
      <c r="D13" s="469"/>
      <c r="E13" s="574"/>
      <c r="F13" s="574"/>
      <c r="G13" s="574"/>
      <c r="H13" s="574"/>
      <c r="I13" s="574"/>
      <c r="J13" s="574"/>
      <c r="K13" s="574"/>
      <c r="L13" s="574"/>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283"/>
  <sheetViews>
    <sheetView tabSelected="1" zoomScale="80" zoomScaleNormal="80" workbookViewId="0"/>
  </sheetViews>
  <sheetFormatPr defaultColWidth="9.140625" defaultRowHeight="15" x14ac:dyDescent="0.25"/>
  <cols>
    <col min="1" max="1" width="1.85546875" customWidth="1"/>
    <col min="2" max="2" width="3.5703125" customWidth="1"/>
    <col min="3" max="3" width="29.5703125" customWidth="1"/>
    <col min="4" max="4" width="80" customWidth="1"/>
    <col min="5" max="6" width="12.42578125" customWidth="1"/>
    <col min="7" max="7" width="12.85546875" customWidth="1"/>
    <col min="8" max="8" width="27.140625" customWidth="1"/>
    <col min="9" max="9" width="16.85546875" customWidth="1"/>
    <col min="10" max="10" width="14.42578125" customWidth="1"/>
    <col min="11" max="11" width="12" customWidth="1"/>
    <col min="12" max="12" width="11.42578125" customWidth="1"/>
    <col min="13" max="13" width="16.5703125" customWidth="1"/>
    <col min="14" max="14" width="14.5703125" customWidth="1"/>
    <col min="15" max="15" width="13" customWidth="1"/>
    <col min="16" max="16" width="49" customWidth="1"/>
    <col min="17" max="17" width="2.140625" customWidth="1"/>
  </cols>
  <sheetData>
    <row r="1" spans="1:25" ht="20.25" x14ac:dyDescent="0.3">
      <c r="A1" s="2"/>
      <c r="B1" s="452" t="s">
        <v>0</v>
      </c>
      <c r="C1" s="452"/>
      <c r="D1" s="452"/>
      <c r="E1" s="452"/>
      <c r="F1" s="452"/>
      <c r="G1" s="452"/>
      <c r="H1" s="452"/>
      <c r="I1" s="452"/>
      <c r="J1" s="452"/>
      <c r="K1" s="452"/>
      <c r="L1" s="452"/>
      <c r="M1" s="452"/>
      <c r="N1" s="452"/>
      <c r="O1" s="452"/>
      <c r="P1" s="452"/>
      <c r="Q1" s="452"/>
      <c r="R1" s="2"/>
      <c r="S1" s="2"/>
      <c r="T1" s="2"/>
      <c r="U1" s="2"/>
      <c r="V1" s="2"/>
      <c r="W1" s="2"/>
      <c r="X1" s="2"/>
      <c r="Y1" s="2"/>
    </row>
    <row r="2" spans="1:25" ht="20.25" x14ac:dyDescent="0.3">
      <c r="A2" s="2"/>
      <c r="B2" s="452" t="s">
        <v>39</v>
      </c>
      <c r="C2" s="452"/>
      <c r="D2" s="452"/>
      <c r="E2" s="452"/>
      <c r="F2" s="452"/>
      <c r="G2" s="452"/>
      <c r="H2" s="452"/>
      <c r="I2" s="452"/>
      <c r="J2" s="452"/>
      <c r="K2" s="452"/>
      <c r="L2" s="452"/>
      <c r="M2" s="452"/>
      <c r="N2" s="452"/>
      <c r="O2" s="452"/>
      <c r="P2" s="452"/>
      <c r="Q2" s="452"/>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471" t="s">
        <v>40</v>
      </c>
      <c r="C4" s="471"/>
      <c r="D4" s="22" t="s">
        <v>444</v>
      </c>
      <c r="E4" s="23"/>
      <c r="F4" s="2"/>
      <c r="G4" s="2"/>
      <c r="H4" s="2"/>
      <c r="I4" s="2"/>
      <c r="J4" s="2"/>
      <c r="K4" s="2"/>
      <c r="L4" s="2"/>
      <c r="M4" s="2"/>
      <c r="N4" s="2"/>
      <c r="O4" s="2"/>
      <c r="P4" s="2"/>
      <c r="Q4" s="2"/>
      <c r="R4" s="2"/>
      <c r="S4" s="2"/>
      <c r="T4" s="2"/>
      <c r="U4" s="2"/>
      <c r="V4" s="2"/>
      <c r="W4" s="2"/>
      <c r="X4" s="2"/>
      <c r="Y4" s="2"/>
    </row>
    <row r="5" spans="1:25" ht="15.75" thickBot="1" x14ac:dyDescent="0.3">
      <c r="A5" s="2"/>
      <c r="B5" s="471" t="s">
        <v>41</v>
      </c>
      <c r="C5" s="471"/>
      <c r="D5" s="24">
        <v>1</v>
      </c>
      <c r="E5" s="25" t="s">
        <v>42</v>
      </c>
      <c r="F5" s="26" t="s">
        <v>43</v>
      </c>
      <c r="G5" s="473" t="s">
        <v>445</v>
      </c>
      <c r="H5" s="473"/>
      <c r="I5" s="473"/>
      <c r="J5" s="473"/>
      <c r="K5" s="27"/>
      <c r="L5" s="27"/>
      <c r="M5" s="28" t="s">
        <v>17</v>
      </c>
      <c r="N5" s="29" t="str">
        <f>DQI!I45</f>
        <v>3,2,2,2,1</v>
      </c>
      <c r="O5" s="30"/>
      <c r="P5" s="18" t="s">
        <v>44</v>
      </c>
      <c r="Q5" s="2"/>
      <c r="R5" s="2"/>
      <c r="S5" s="2"/>
      <c r="T5" s="2"/>
      <c r="U5" s="2"/>
      <c r="V5" s="2"/>
      <c r="W5" s="2"/>
      <c r="X5" s="2"/>
      <c r="Y5" s="2"/>
    </row>
    <row r="6" spans="1:25" ht="27.75" customHeight="1" x14ac:dyDescent="0.25">
      <c r="A6" s="2"/>
      <c r="B6" s="474" t="s">
        <v>45</v>
      </c>
      <c r="C6" s="475"/>
      <c r="D6" s="476" t="s">
        <v>917</v>
      </c>
      <c r="E6" s="477"/>
      <c r="F6" s="477"/>
      <c r="G6" s="477"/>
      <c r="H6" s="477"/>
      <c r="I6" s="477"/>
      <c r="J6" s="477"/>
      <c r="K6" s="477"/>
      <c r="L6" s="477"/>
      <c r="M6" s="477"/>
      <c r="N6" s="477"/>
      <c r="O6" s="478"/>
      <c r="P6" s="3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2"/>
      <c r="B8" s="479" t="s">
        <v>46</v>
      </c>
      <c r="C8" s="480"/>
      <c r="D8" s="480"/>
      <c r="E8" s="480"/>
      <c r="F8" s="480"/>
      <c r="G8" s="480"/>
      <c r="H8" s="480"/>
      <c r="I8" s="480"/>
      <c r="J8" s="480"/>
      <c r="K8" s="480"/>
      <c r="L8" s="480"/>
      <c r="M8" s="480"/>
      <c r="N8" s="480"/>
      <c r="O8" s="480"/>
      <c r="P8" s="481"/>
      <c r="Q8" s="32"/>
      <c r="R8" s="32"/>
      <c r="S8" s="32"/>
      <c r="T8" s="32"/>
      <c r="U8" s="32"/>
      <c r="V8" s="32"/>
      <c r="W8" s="32"/>
      <c r="X8" s="32"/>
      <c r="Y8" s="3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471" t="s">
        <v>47</v>
      </c>
      <c r="C10" s="471"/>
      <c r="D10" s="482" t="s">
        <v>446</v>
      </c>
      <c r="E10" s="483"/>
      <c r="F10" s="2"/>
      <c r="G10" s="33" t="s">
        <v>48</v>
      </c>
      <c r="H10" s="34"/>
      <c r="I10" s="34"/>
      <c r="J10" s="34"/>
      <c r="K10" s="34"/>
      <c r="L10" s="34"/>
      <c r="M10" s="34"/>
      <c r="N10" s="34"/>
      <c r="O10" s="35"/>
      <c r="P10" s="2"/>
      <c r="Q10" s="2"/>
      <c r="R10" s="2"/>
      <c r="S10" s="2"/>
      <c r="T10" s="2"/>
      <c r="U10" s="2"/>
      <c r="V10" s="2"/>
      <c r="W10" s="2"/>
      <c r="X10" s="2"/>
      <c r="Y10" s="2"/>
    </row>
    <row r="11" spans="1:25" x14ac:dyDescent="0.25">
      <c r="A11" s="2"/>
      <c r="B11" s="484" t="s">
        <v>49</v>
      </c>
      <c r="C11" s="485"/>
      <c r="D11" s="486" t="s">
        <v>447</v>
      </c>
      <c r="E11" s="483"/>
      <c r="F11" s="2"/>
      <c r="G11" s="36" t="str">
        <f>CONCATENATE("Reference Flow: ",D5," ",E5," of ",G5)</f>
        <v>Reference Flow: 1 kg of NdFeB Plated Magnet</v>
      </c>
      <c r="H11" s="37"/>
      <c r="I11" s="37"/>
      <c r="J11" s="37"/>
      <c r="K11" s="37"/>
      <c r="L11" s="37"/>
      <c r="M11" s="37"/>
      <c r="N11" s="37"/>
      <c r="O11" s="38"/>
      <c r="P11" s="2"/>
      <c r="Q11" s="2"/>
      <c r="R11" s="2"/>
      <c r="S11" s="2"/>
      <c r="T11" s="2"/>
      <c r="U11" s="2"/>
      <c r="V11" s="2"/>
      <c r="W11" s="2"/>
      <c r="X11" s="2"/>
      <c r="Y11" s="2"/>
    </row>
    <row r="12" spans="1:25" x14ac:dyDescent="0.25">
      <c r="A12" s="2"/>
      <c r="B12" s="471" t="s">
        <v>50</v>
      </c>
      <c r="C12" s="471"/>
      <c r="D12" s="472">
        <v>2014</v>
      </c>
      <c r="E12" s="472"/>
      <c r="F12" s="2"/>
      <c r="G12" s="36"/>
      <c r="H12" s="37"/>
      <c r="I12" s="37"/>
      <c r="J12" s="37"/>
      <c r="K12" s="37"/>
      <c r="L12" s="37"/>
      <c r="M12" s="37"/>
      <c r="N12" s="37"/>
      <c r="O12" s="38"/>
      <c r="P12" s="2"/>
      <c r="Q12" s="2"/>
      <c r="R12" s="2"/>
      <c r="S12" s="2"/>
      <c r="T12" s="2"/>
      <c r="U12" s="2"/>
      <c r="V12" s="2"/>
      <c r="W12" s="2"/>
      <c r="X12" s="2"/>
      <c r="Y12" s="2"/>
    </row>
    <row r="13" spans="1:25" ht="12.75" customHeight="1" x14ac:dyDescent="0.25">
      <c r="A13" s="2"/>
      <c r="B13" s="471" t="s">
        <v>51</v>
      </c>
      <c r="C13" s="471"/>
      <c r="D13" s="472" t="s">
        <v>104</v>
      </c>
      <c r="E13" s="472"/>
      <c r="F13" s="2"/>
      <c r="G13" s="487" t="s">
        <v>916</v>
      </c>
      <c r="H13" s="488"/>
      <c r="I13" s="488"/>
      <c r="J13" s="488"/>
      <c r="K13" s="488"/>
      <c r="L13" s="488"/>
      <c r="M13" s="488"/>
      <c r="N13" s="488"/>
      <c r="O13" s="489"/>
      <c r="P13" s="2"/>
      <c r="Q13" s="2"/>
      <c r="R13" s="2"/>
      <c r="S13" s="2"/>
      <c r="T13" s="2"/>
      <c r="U13" s="2"/>
      <c r="V13" s="2"/>
      <c r="W13" s="2"/>
      <c r="X13" s="2"/>
      <c r="Y13" s="2"/>
    </row>
    <row r="14" spans="1:25" x14ac:dyDescent="0.25">
      <c r="A14" s="2"/>
      <c r="B14" s="471" t="s">
        <v>52</v>
      </c>
      <c r="C14" s="471"/>
      <c r="D14" s="472" t="s">
        <v>110</v>
      </c>
      <c r="E14" s="472"/>
      <c r="F14" s="2"/>
      <c r="G14" s="487"/>
      <c r="H14" s="488"/>
      <c r="I14" s="488"/>
      <c r="J14" s="488"/>
      <c r="K14" s="488"/>
      <c r="L14" s="488"/>
      <c r="M14" s="488"/>
      <c r="N14" s="488"/>
      <c r="O14" s="489"/>
      <c r="P14" s="2"/>
      <c r="Q14" s="2"/>
      <c r="R14" s="2"/>
      <c r="S14" s="2"/>
      <c r="T14" s="2"/>
      <c r="U14" s="2"/>
      <c r="V14" s="2"/>
      <c r="W14" s="2"/>
      <c r="X14" s="2"/>
      <c r="Y14" s="2"/>
    </row>
    <row r="15" spans="1:25" x14ac:dyDescent="0.25">
      <c r="A15" s="2"/>
      <c r="B15" s="471" t="s">
        <v>53</v>
      </c>
      <c r="C15" s="471"/>
      <c r="D15" s="472" t="s">
        <v>448</v>
      </c>
      <c r="E15" s="472"/>
      <c r="F15" s="2"/>
      <c r="G15" s="487"/>
      <c r="H15" s="488"/>
      <c r="I15" s="488"/>
      <c r="J15" s="488"/>
      <c r="K15" s="488"/>
      <c r="L15" s="488"/>
      <c r="M15" s="488"/>
      <c r="N15" s="488"/>
      <c r="O15" s="489"/>
      <c r="P15" s="2"/>
      <c r="Q15" s="2"/>
      <c r="R15" s="2"/>
      <c r="S15" s="2"/>
      <c r="T15" s="2"/>
      <c r="U15" s="2"/>
      <c r="V15" s="2"/>
      <c r="W15" s="2"/>
      <c r="X15" s="2"/>
      <c r="Y15" s="2"/>
    </row>
    <row r="16" spans="1:25" x14ac:dyDescent="0.25">
      <c r="A16" s="2"/>
      <c r="B16" s="471" t="s">
        <v>54</v>
      </c>
      <c r="C16" s="471"/>
      <c r="D16" s="472" t="s">
        <v>106</v>
      </c>
      <c r="E16" s="472"/>
      <c r="F16" s="2"/>
      <c r="G16" s="487"/>
      <c r="H16" s="488"/>
      <c r="I16" s="488"/>
      <c r="J16" s="488"/>
      <c r="K16" s="488"/>
      <c r="L16" s="488"/>
      <c r="M16" s="488"/>
      <c r="N16" s="488"/>
      <c r="O16" s="489"/>
      <c r="P16" s="2"/>
      <c r="Q16" s="2"/>
      <c r="R16" s="2"/>
      <c r="S16" s="2"/>
      <c r="T16" s="2"/>
      <c r="U16" s="2"/>
      <c r="V16" s="2"/>
      <c r="W16" s="2"/>
      <c r="X16" s="2"/>
      <c r="Y16" s="2"/>
    </row>
    <row r="17" spans="1:25" ht="23.45" customHeight="1" x14ac:dyDescent="0.25">
      <c r="A17" s="2"/>
      <c r="B17" s="490" t="s">
        <v>55</v>
      </c>
      <c r="C17" s="491"/>
      <c r="D17" s="492"/>
      <c r="E17" s="492"/>
      <c r="F17" s="2"/>
      <c r="G17" s="39" t="s">
        <v>915</v>
      </c>
      <c r="H17" s="40"/>
      <c r="I17" s="40"/>
      <c r="J17" s="40"/>
      <c r="K17" s="40"/>
      <c r="L17" s="40"/>
      <c r="M17" s="40"/>
      <c r="N17" s="40"/>
      <c r="O17" s="41"/>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2"/>
      <c r="B20" s="479" t="s">
        <v>56</v>
      </c>
      <c r="C20" s="480"/>
      <c r="D20" s="480"/>
      <c r="E20" s="480"/>
      <c r="F20" s="480"/>
      <c r="G20" s="480"/>
      <c r="H20" s="480"/>
      <c r="I20" s="480"/>
      <c r="J20" s="480"/>
      <c r="K20" s="480"/>
      <c r="L20" s="480"/>
      <c r="M20" s="480"/>
      <c r="N20" s="480"/>
      <c r="O20" s="480"/>
      <c r="P20" s="481"/>
      <c r="Q20" s="32"/>
      <c r="R20" s="32"/>
      <c r="S20" s="32"/>
      <c r="T20" s="32"/>
      <c r="U20" s="32"/>
      <c r="V20" s="32"/>
      <c r="W20" s="32"/>
      <c r="X20" s="32"/>
      <c r="Y20" s="32"/>
    </row>
    <row r="21" spans="1:25" x14ac:dyDescent="0.25">
      <c r="A21" s="2"/>
      <c r="B21" s="9"/>
      <c r="C21" s="2"/>
      <c r="D21" s="2"/>
      <c r="E21" s="2"/>
      <c r="F21" s="2"/>
      <c r="G21" s="42" t="s">
        <v>57</v>
      </c>
      <c r="H21" s="2"/>
      <c r="I21" s="2"/>
      <c r="J21" s="2"/>
      <c r="K21" s="2"/>
      <c r="L21" s="2"/>
      <c r="M21" s="2"/>
      <c r="N21" s="2"/>
      <c r="O21" s="2"/>
      <c r="P21" s="2"/>
      <c r="Q21" s="2"/>
      <c r="R21" s="2"/>
      <c r="S21" s="2"/>
      <c r="T21" s="2"/>
      <c r="U21" s="2"/>
      <c r="V21" s="2"/>
      <c r="W21" s="2"/>
      <c r="X21" s="2"/>
      <c r="Y21" s="2"/>
    </row>
    <row r="22" spans="1:25" x14ac:dyDescent="0.25">
      <c r="A22" s="2"/>
      <c r="B22" s="9"/>
      <c r="C22" s="43" t="s">
        <v>58</v>
      </c>
      <c r="D22" s="43" t="s">
        <v>59</v>
      </c>
      <c r="E22" s="43" t="s">
        <v>60</v>
      </c>
      <c r="F22" s="43" t="s">
        <v>61</v>
      </c>
      <c r="G22" s="43" t="s">
        <v>62</v>
      </c>
      <c r="H22" s="43" t="s">
        <v>63</v>
      </c>
      <c r="I22" s="43" t="s">
        <v>64</v>
      </c>
      <c r="J22" s="493" t="s">
        <v>65</v>
      </c>
      <c r="K22" s="494"/>
      <c r="L22" s="494"/>
      <c r="M22" s="494"/>
      <c r="N22" s="494"/>
      <c r="O22" s="494"/>
      <c r="P22" s="495"/>
      <c r="Q22" s="2"/>
      <c r="R22" s="2"/>
      <c r="S22" s="2"/>
      <c r="T22" s="2"/>
      <c r="U22" s="2"/>
      <c r="V22" s="2"/>
      <c r="W22" s="2"/>
      <c r="X22" s="2"/>
      <c r="Y22" s="2"/>
    </row>
    <row r="23" spans="1:25" x14ac:dyDescent="0.25">
      <c r="A23" s="2"/>
      <c r="B23" s="18">
        <f t="shared" ref="B23:B104" si="0">LEN(C23)</f>
        <v>7</v>
      </c>
      <c r="C23" s="187" t="s">
        <v>569</v>
      </c>
      <c r="D23" s="187"/>
      <c r="E23" s="375">
        <f>Alloying!B59</f>
        <v>0.72</v>
      </c>
      <c r="F23" s="374"/>
      <c r="G23" s="374"/>
      <c r="H23" s="380" t="str">
        <f>Alloying!E59</f>
        <v>kg Fe/kg NdFeB Alloy</v>
      </c>
      <c r="I23" s="380" t="s">
        <v>680</v>
      </c>
      <c r="J23" s="496" t="s">
        <v>726</v>
      </c>
      <c r="K23" s="497"/>
      <c r="L23" s="497"/>
      <c r="M23" s="497"/>
      <c r="N23" s="497"/>
      <c r="O23" s="497"/>
      <c r="P23" s="498"/>
      <c r="Q23" s="2"/>
      <c r="R23" s="2"/>
      <c r="S23" s="2"/>
      <c r="T23" s="2"/>
      <c r="U23" s="2"/>
      <c r="V23" s="2"/>
      <c r="W23" s="2"/>
      <c r="X23" s="2"/>
      <c r="Y23" s="2"/>
    </row>
    <row r="24" spans="1:25" x14ac:dyDescent="0.25">
      <c r="A24" s="2"/>
      <c r="B24" s="18">
        <f t="shared" si="0"/>
        <v>7</v>
      </c>
      <c r="C24" s="187" t="s">
        <v>570</v>
      </c>
      <c r="D24" s="187"/>
      <c r="E24" s="375">
        <f>Alloying!B60</f>
        <v>0.27</v>
      </c>
      <c r="F24" s="374"/>
      <c r="G24" s="374"/>
      <c r="H24" s="380" t="str">
        <f>Alloying!E60</f>
        <v>kg Nd/kg NdFeB Alloy</v>
      </c>
      <c r="I24" s="380" t="s">
        <v>680</v>
      </c>
      <c r="J24" s="496" t="s">
        <v>727</v>
      </c>
      <c r="K24" s="497"/>
      <c r="L24" s="497"/>
      <c r="M24" s="497"/>
      <c r="N24" s="497"/>
      <c r="O24" s="497"/>
      <c r="P24" s="498"/>
      <c r="Q24" s="2"/>
      <c r="R24" s="2"/>
      <c r="S24" s="2"/>
      <c r="T24" s="2"/>
      <c r="U24" s="2"/>
      <c r="V24" s="2"/>
      <c r="W24" s="2"/>
      <c r="X24" s="2"/>
      <c r="Y24" s="2"/>
    </row>
    <row r="25" spans="1:25" x14ac:dyDescent="0.25">
      <c r="A25" s="2"/>
      <c r="B25" s="18">
        <f t="shared" si="0"/>
        <v>6</v>
      </c>
      <c r="C25" s="187" t="s">
        <v>571</v>
      </c>
      <c r="D25" s="187"/>
      <c r="E25" s="375">
        <f>Alloying!B61</f>
        <v>0.01</v>
      </c>
      <c r="F25" s="374"/>
      <c r="G25" s="374"/>
      <c r="H25" s="380" t="str">
        <f>Alloying!E61</f>
        <v>kg B/kg NdFeB Alloy</v>
      </c>
      <c r="I25" s="380" t="s">
        <v>680</v>
      </c>
      <c r="J25" s="496" t="s">
        <v>728</v>
      </c>
      <c r="K25" s="497"/>
      <c r="L25" s="497"/>
      <c r="M25" s="497"/>
      <c r="N25" s="497"/>
      <c r="O25" s="497"/>
      <c r="P25" s="498"/>
      <c r="Q25" s="2"/>
      <c r="R25" s="2"/>
      <c r="S25" s="2"/>
      <c r="T25" s="2"/>
      <c r="U25" s="2"/>
      <c r="V25" s="2"/>
      <c r="W25" s="2"/>
      <c r="X25" s="2"/>
      <c r="Y25" s="2"/>
    </row>
    <row r="26" spans="1:25" x14ac:dyDescent="0.25">
      <c r="A26" s="2"/>
      <c r="B26" s="18">
        <f t="shared" si="0"/>
        <v>11</v>
      </c>
      <c r="C26" s="187" t="s">
        <v>572</v>
      </c>
      <c r="D26" s="187"/>
      <c r="E26" s="375">
        <f>Alloying!B62</f>
        <v>0.78255361505746091</v>
      </c>
      <c r="F26" s="374"/>
      <c r="G26" s="374"/>
      <c r="H26" s="380" t="str">
        <f>Alloying!E62</f>
        <v>kg B/kg B4C</v>
      </c>
      <c r="I26" s="380">
        <v>5</v>
      </c>
      <c r="J26" s="496" t="s">
        <v>729</v>
      </c>
      <c r="K26" s="497"/>
      <c r="L26" s="497"/>
      <c r="M26" s="497"/>
      <c r="N26" s="497"/>
      <c r="O26" s="497"/>
      <c r="P26" s="498"/>
      <c r="Q26" s="2"/>
      <c r="R26" s="2"/>
      <c r="S26" s="2"/>
      <c r="T26" s="2"/>
      <c r="U26" s="2"/>
      <c r="V26" s="2"/>
      <c r="W26" s="2"/>
      <c r="X26" s="2"/>
      <c r="Y26" s="2"/>
    </row>
    <row r="27" spans="1:25" x14ac:dyDescent="0.25">
      <c r="A27" s="2"/>
      <c r="B27" s="18">
        <f t="shared" si="0"/>
        <v>2</v>
      </c>
      <c r="C27" s="187" t="str">
        <f>Alloying!A63</f>
        <v>Fe</v>
      </c>
      <c r="D27" s="187" t="s">
        <v>933</v>
      </c>
      <c r="E27" s="375">
        <f>E23*E59</f>
        <v>1.4693877551020409</v>
      </c>
      <c r="F27" s="374"/>
      <c r="G27" s="374"/>
      <c r="H27" s="380" t="str">
        <f>Alloying!E63</f>
        <v>kg</v>
      </c>
      <c r="I27" s="380" t="s">
        <v>680</v>
      </c>
      <c r="J27" s="496" t="s">
        <v>730</v>
      </c>
      <c r="K27" s="497"/>
      <c r="L27" s="497"/>
      <c r="M27" s="497"/>
      <c r="N27" s="497"/>
      <c r="O27" s="497"/>
      <c r="P27" s="498"/>
      <c r="Q27" s="2"/>
      <c r="R27" s="2"/>
      <c r="S27" s="2"/>
      <c r="T27" s="2"/>
      <c r="U27" s="2"/>
      <c r="V27" s="2"/>
      <c r="W27" s="2"/>
      <c r="X27" s="2"/>
      <c r="Y27" s="2"/>
    </row>
    <row r="28" spans="1:25" x14ac:dyDescent="0.25">
      <c r="A28" s="2"/>
      <c r="B28" s="18">
        <f t="shared" si="0"/>
        <v>3</v>
      </c>
      <c r="C28" s="187" t="s">
        <v>421</v>
      </c>
      <c r="D28" s="187" t="s">
        <v>574</v>
      </c>
      <c r="E28" s="375">
        <f>E25*E59/E26</f>
        <v>2.6078932960788385E-2</v>
      </c>
      <c r="F28" s="374"/>
      <c r="G28" s="374"/>
      <c r="H28" s="380" t="str">
        <f>Alloying!E64</f>
        <v>kg</v>
      </c>
      <c r="I28" s="380" t="s">
        <v>716</v>
      </c>
      <c r="J28" s="496" t="s">
        <v>731</v>
      </c>
      <c r="K28" s="497"/>
      <c r="L28" s="497"/>
      <c r="M28" s="497"/>
      <c r="N28" s="497"/>
      <c r="O28" s="497"/>
      <c r="P28" s="498"/>
      <c r="Q28" s="2"/>
      <c r="R28" s="2"/>
      <c r="S28" s="2"/>
      <c r="T28" s="2"/>
      <c r="U28" s="2"/>
      <c r="V28" s="2"/>
      <c r="W28" s="2"/>
      <c r="X28" s="2"/>
      <c r="Y28" s="2"/>
    </row>
    <row r="29" spans="1:25" x14ac:dyDescent="0.25">
      <c r="A29" s="2"/>
      <c r="B29" s="18">
        <f t="shared" si="0"/>
        <v>2</v>
      </c>
      <c r="C29" s="187" t="s">
        <v>249</v>
      </c>
      <c r="D29" s="187" t="s">
        <v>575</v>
      </c>
      <c r="E29" s="375">
        <f>E24*E59</f>
        <v>0.55102040816326536</v>
      </c>
      <c r="F29" s="374"/>
      <c r="G29" s="374"/>
      <c r="H29" s="380" t="str">
        <f>Alloying!E65</f>
        <v>kg</v>
      </c>
      <c r="I29" s="380" t="s">
        <v>680</v>
      </c>
      <c r="J29" s="496" t="s">
        <v>732</v>
      </c>
      <c r="K29" s="497"/>
      <c r="L29" s="497"/>
      <c r="M29" s="497"/>
      <c r="N29" s="497"/>
      <c r="O29" s="497"/>
      <c r="P29" s="498"/>
      <c r="Q29" s="2"/>
      <c r="R29" s="2"/>
      <c r="S29" s="2"/>
      <c r="T29" s="2"/>
      <c r="U29" s="2"/>
      <c r="V29" s="2"/>
      <c r="W29" s="2"/>
      <c r="X29" s="2"/>
      <c r="Y29" s="2"/>
    </row>
    <row r="30" spans="1:25" x14ac:dyDescent="0.25">
      <c r="A30" s="2"/>
      <c r="B30" s="18">
        <f t="shared" si="0"/>
        <v>4</v>
      </c>
      <c r="C30" s="187" t="s">
        <v>449</v>
      </c>
      <c r="D30" s="187"/>
      <c r="E30" s="376">
        <f>Alloying!B66</f>
        <v>25.1</v>
      </c>
      <c r="F30" s="374"/>
      <c r="G30" s="374"/>
      <c r="H30" s="380" t="str">
        <f>Alloying!E66</f>
        <v>J/mol*K</v>
      </c>
      <c r="I30" s="380">
        <v>3</v>
      </c>
      <c r="J30" s="496" t="s">
        <v>733</v>
      </c>
      <c r="K30" s="497"/>
      <c r="L30" s="497"/>
      <c r="M30" s="497"/>
      <c r="N30" s="497"/>
      <c r="O30" s="497"/>
      <c r="P30" s="498"/>
      <c r="Q30" s="2"/>
      <c r="R30" s="2"/>
      <c r="S30" s="2"/>
      <c r="T30" s="2"/>
      <c r="U30" s="2"/>
      <c r="V30" s="2"/>
      <c r="W30" s="2"/>
      <c r="X30" s="2"/>
      <c r="Y30" s="2"/>
    </row>
    <row r="31" spans="1:25" x14ac:dyDescent="0.25">
      <c r="A31" s="2"/>
      <c r="B31" s="18">
        <f t="shared" si="0"/>
        <v>5</v>
      </c>
      <c r="C31" s="187" t="s">
        <v>450</v>
      </c>
      <c r="D31" s="187"/>
      <c r="E31" s="375">
        <f>Alloying!B67</f>
        <v>26.77</v>
      </c>
      <c r="F31" s="374"/>
      <c r="G31" s="374"/>
      <c r="H31" s="380" t="str">
        <f>Alloying!E67</f>
        <v>J/mol*K</v>
      </c>
      <c r="I31" s="380">
        <v>5</v>
      </c>
      <c r="J31" s="496" t="s">
        <v>734</v>
      </c>
      <c r="K31" s="497"/>
      <c r="L31" s="497"/>
      <c r="M31" s="497"/>
      <c r="N31" s="497"/>
      <c r="O31" s="497"/>
      <c r="P31" s="498"/>
      <c r="Q31" s="2"/>
      <c r="R31" s="2"/>
      <c r="S31" s="2"/>
      <c r="T31" s="2"/>
      <c r="U31" s="2"/>
      <c r="V31" s="2"/>
      <c r="W31" s="2"/>
      <c r="X31" s="2"/>
      <c r="Y31" s="2"/>
    </row>
    <row r="32" spans="1:25" x14ac:dyDescent="0.25">
      <c r="A32" s="2"/>
      <c r="B32" s="18">
        <f t="shared" si="0"/>
        <v>4</v>
      </c>
      <c r="C32" s="187" t="s">
        <v>451</v>
      </c>
      <c r="D32" s="187"/>
      <c r="E32" s="375">
        <f>Alloying!B68</f>
        <v>27.45</v>
      </c>
      <c r="F32" s="374"/>
      <c r="G32" s="374"/>
      <c r="H32" s="380" t="str">
        <f>Alloying!E68</f>
        <v>J/mol*K</v>
      </c>
      <c r="I32" s="380">
        <v>4</v>
      </c>
      <c r="J32" s="496" t="s">
        <v>735</v>
      </c>
      <c r="K32" s="497"/>
      <c r="L32" s="497"/>
      <c r="M32" s="497"/>
      <c r="N32" s="497"/>
      <c r="O32" s="497"/>
      <c r="P32" s="498"/>
      <c r="Q32" s="2"/>
      <c r="R32" s="2"/>
      <c r="S32" s="2"/>
      <c r="T32" s="2"/>
      <c r="U32" s="2"/>
      <c r="V32" s="2"/>
      <c r="W32" s="2"/>
      <c r="X32" s="2"/>
      <c r="Y32" s="2"/>
    </row>
    <row r="33" spans="1:25" x14ac:dyDescent="0.25">
      <c r="A33" s="2"/>
      <c r="B33" s="18">
        <f t="shared" si="0"/>
        <v>10</v>
      </c>
      <c r="C33" s="187" t="s">
        <v>452</v>
      </c>
      <c r="D33" s="187"/>
      <c r="E33" s="375">
        <f>Alloying!B69</f>
        <v>1513</v>
      </c>
      <c r="F33" s="374"/>
      <c r="G33" s="374"/>
      <c r="H33" s="380" t="str">
        <f>Alloying!E69</f>
        <v>∆C</v>
      </c>
      <c r="I33" s="380">
        <v>3</v>
      </c>
      <c r="J33" s="496" t="s">
        <v>936</v>
      </c>
      <c r="K33" s="497"/>
      <c r="L33" s="497"/>
      <c r="M33" s="497"/>
      <c r="N33" s="497"/>
      <c r="O33" s="497"/>
      <c r="P33" s="498"/>
      <c r="Q33" s="2"/>
      <c r="R33" s="2"/>
      <c r="S33" s="2"/>
      <c r="T33" s="2"/>
      <c r="U33" s="2"/>
      <c r="V33" s="2"/>
      <c r="W33" s="2"/>
      <c r="X33" s="2"/>
      <c r="Y33" s="2"/>
    </row>
    <row r="34" spans="1:25" x14ac:dyDescent="0.25">
      <c r="A34" s="2"/>
      <c r="B34" s="18">
        <f t="shared" si="0"/>
        <v>11</v>
      </c>
      <c r="C34" s="187" t="s">
        <v>453</v>
      </c>
      <c r="D34" s="187"/>
      <c r="E34" s="375">
        <f>Alloying!B70</f>
        <v>4980</v>
      </c>
      <c r="F34" s="374"/>
      <c r="G34" s="374"/>
      <c r="H34" s="380" t="str">
        <f>Alloying!E70</f>
        <v>∆C</v>
      </c>
      <c r="I34" s="380">
        <v>5</v>
      </c>
      <c r="J34" s="496" t="s">
        <v>937</v>
      </c>
      <c r="K34" s="497"/>
      <c r="L34" s="497"/>
      <c r="M34" s="497"/>
      <c r="N34" s="497"/>
      <c r="O34" s="497"/>
      <c r="P34" s="498"/>
      <c r="Q34" s="2"/>
      <c r="R34" s="2"/>
      <c r="S34" s="2"/>
      <c r="T34" s="2"/>
      <c r="U34" s="2"/>
      <c r="V34" s="2"/>
      <c r="W34" s="2"/>
      <c r="X34" s="2"/>
      <c r="Y34" s="2"/>
    </row>
    <row r="35" spans="1:25" x14ac:dyDescent="0.25">
      <c r="A35" s="2"/>
      <c r="B35" s="18">
        <f t="shared" si="0"/>
        <v>10</v>
      </c>
      <c r="C35" s="187" t="s">
        <v>454</v>
      </c>
      <c r="D35" s="187"/>
      <c r="E35" s="375">
        <f>Alloying!B71</f>
        <v>999</v>
      </c>
      <c r="F35" s="374"/>
      <c r="G35" s="374"/>
      <c r="H35" s="380" t="str">
        <f>Alloying!E71</f>
        <v>∆C</v>
      </c>
      <c r="I35" s="380">
        <v>4</v>
      </c>
      <c r="J35" s="496" t="s">
        <v>938</v>
      </c>
      <c r="K35" s="497"/>
      <c r="L35" s="497"/>
      <c r="M35" s="497"/>
      <c r="N35" s="497"/>
      <c r="O35" s="497"/>
      <c r="P35" s="498"/>
      <c r="Q35" s="2"/>
      <c r="R35" s="2"/>
      <c r="S35" s="2"/>
      <c r="T35" s="2"/>
      <c r="U35" s="2"/>
      <c r="V35" s="2"/>
      <c r="W35" s="2"/>
      <c r="X35" s="2"/>
      <c r="Y35" s="2"/>
    </row>
    <row r="36" spans="1:25" x14ac:dyDescent="0.25">
      <c r="A36" s="2"/>
      <c r="B36" s="18">
        <f t="shared" si="0"/>
        <v>8</v>
      </c>
      <c r="C36" s="187" t="s">
        <v>455</v>
      </c>
      <c r="D36" s="187"/>
      <c r="E36" s="375">
        <f>Alloying!B72</f>
        <v>5.5844999999999999E-2</v>
      </c>
      <c r="F36" s="374"/>
      <c r="G36" s="374"/>
      <c r="H36" s="380" t="str">
        <f>Alloying!E72</f>
        <v>kg/mol</v>
      </c>
      <c r="I36" s="380">
        <v>3</v>
      </c>
      <c r="J36" s="496" t="s">
        <v>736</v>
      </c>
      <c r="K36" s="497"/>
      <c r="L36" s="497"/>
      <c r="M36" s="497"/>
      <c r="N36" s="497"/>
      <c r="O36" s="497"/>
      <c r="P36" s="498"/>
      <c r="Q36" s="2"/>
      <c r="R36" s="2"/>
      <c r="S36" s="2"/>
      <c r="T36" s="2"/>
      <c r="U36" s="2"/>
      <c r="V36" s="2"/>
      <c r="W36" s="2"/>
      <c r="X36" s="2"/>
      <c r="Y36" s="2"/>
    </row>
    <row r="37" spans="1:25" x14ac:dyDescent="0.25">
      <c r="A37" s="2"/>
      <c r="B37" s="18">
        <f t="shared" si="0"/>
        <v>9</v>
      </c>
      <c r="C37" s="187" t="s">
        <v>456</v>
      </c>
      <c r="D37" s="187"/>
      <c r="E37" s="375">
        <f>Alloying!B73</f>
        <v>5.5254999999999999E-2</v>
      </c>
      <c r="F37" s="374"/>
      <c r="G37" s="374"/>
      <c r="H37" s="380" t="str">
        <f>Alloying!E73</f>
        <v>kg/mol</v>
      </c>
      <c r="I37" s="380">
        <v>5</v>
      </c>
      <c r="J37" s="496" t="s">
        <v>737</v>
      </c>
      <c r="K37" s="497"/>
      <c r="L37" s="497"/>
      <c r="M37" s="497"/>
      <c r="N37" s="497"/>
      <c r="O37" s="497"/>
      <c r="P37" s="498"/>
      <c r="Q37" s="2"/>
      <c r="R37" s="2"/>
      <c r="S37" s="2"/>
      <c r="T37" s="2"/>
      <c r="U37" s="2"/>
      <c r="V37" s="2"/>
      <c r="W37" s="2"/>
      <c r="X37" s="2"/>
      <c r="Y37" s="2"/>
    </row>
    <row r="38" spans="1:25" x14ac:dyDescent="0.25">
      <c r="A38" s="2"/>
      <c r="B38" s="18">
        <f t="shared" si="0"/>
        <v>8</v>
      </c>
      <c r="C38" s="187" t="s">
        <v>457</v>
      </c>
      <c r="D38" s="187"/>
      <c r="E38" s="375">
        <f>Alloying!B74</f>
        <v>0.14424000000000001</v>
      </c>
      <c r="F38" s="374"/>
      <c r="G38" s="374"/>
      <c r="H38" s="380" t="str">
        <f>Alloying!E74</f>
        <v>kg/mol</v>
      </c>
      <c r="I38" s="380">
        <v>4</v>
      </c>
      <c r="J38" s="496" t="s">
        <v>738</v>
      </c>
      <c r="K38" s="497"/>
      <c r="L38" s="497"/>
      <c r="M38" s="497"/>
      <c r="N38" s="497"/>
      <c r="O38" s="497"/>
      <c r="P38" s="498"/>
      <c r="Q38" s="2"/>
      <c r="R38" s="2"/>
      <c r="S38" s="2"/>
      <c r="T38" s="2"/>
      <c r="U38" s="2"/>
      <c r="V38" s="2"/>
      <c r="W38" s="2"/>
      <c r="X38" s="2"/>
      <c r="Y38" s="2"/>
    </row>
    <row r="39" spans="1:25" x14ac:dyDescent="0.25">
      <c r="A39" s="2"/>
      <c r="B39" s="18">
        <f t="shared" si="0"/>
        <v>7</v>
      </c>
      <c r="C39" s="187" t="s">
        <v>458</v>
      </c>
      <c r="D39" s="187" t="s">
        <v>576</v>
      </c>
      <c r="E39" s="375">
        <f>E27/E36</f>
        <v>26.311894620862045</v>
      </c>
      <c r="F39" s="374"/>
      <c r="G39" s="374"/>
      <c r="H39" s="380" t="str">
        <f>Alloying!E75</f>
        <v>mol</v>
      </c>
      <c r="I39" s="380" t="s">
        <v>682</v>
      </c>
      <c r="J39" s="496" t="s">
        <v>739</v>
      </c>
      <c r="K39" s="497"/>
      <c r="L39" s="497"/>
      <c r="M39" s="497"/>
      <c r="N39" s="497"/>
      <c r="O39" s="497"/>
      <c r="P39" s="498"/>
      <c r="Q39" s="2"/>
      <c r="R39" s="2"/>
      <c r="S39" s="2"/>
      <c r="T39" s="2"/>
      <c r="U39" s="2"/>
      <c r="V39" s="2"/>
      <c r="W39" s="2"/>
      <c r="X39" s="2"/>
      <c r="Y39" s="2"/>
    </row>
    <row r="40" spans="1:25" x14ac:dyDescent="0.25">
      <c r="A40" s="2"/>
      <c r="B40" s="18">
        <f t="shared" si="0"/>
        <v>8</v>
      </c>
      <c r="C40" s="187" t="s">
        <v>459</v>
      </c>
      <c r="D40" s="187" t="s">
        <v>577</v>
      </c>
      <c r="E40" s="375">
        <f t="shared" ref="E40:E41" si="1">E28/E37</f>
        <v>0.47197417357322208</v>
      </c>
      <c r="F40" s="374"/>
      <c r="G40" s="374"/>
      <c r="H40" s="380" t="str">
        <f>Alloying!E76</f>
        <v>mol</v>
      </c>
      <c r="I40" s="380" t="s">
        <v>681</v>
      </c>
      <c r="J40" s="496" t="s">
        <v>740</v>
      </c>
      <c r="K40" s="497"/>
      <c r="L40" s="497"/>
      <c r="M40" s="497"/>
      <c r="N40" s="497"/>
      <c r="O40" s="497"/>
      <c r="P40" s="498"/>
      <c r="Q40" s="2"/>
      <c r="R40" s="2"/>
      <c r="S40" s="2"/>
      <c r="T40" s="2"/>
      <c r="U40" s="2"/>
      <c r="V40" s="2"/>
      <c r="W40" s="2"/>
      <c r="X40" s="2"/>
      <c r="Y40" s="2"/>
    </row>
    <row r="41" spans="1:25" x14ac:dyDescent="0.25">
      <c r="A41" s="2"/>
      <c r="B41" s="18">
        <f t="shared" si="0"/>
        <v>7</v>
      </c>
      <c r="C41" s="187" t="s">
        <v>460</v>
      </c>
      <c r="D41" s="187" t="s">
        <v>578</v>
      </c>
      <c r="E41" s="375">
        <f t="shared" si="1"/>
        <v>3.8201636727902479</v>
      </c>
      <c r="F41" s="374"/>
      <c r="G41" s="374"/>
      <c r="H41" s="380" t="str">
        <f>Alloying!E77</f>
        <v>mol</v>
      </c>
      <c r="I41" s="380" t="s">
        <v>683</v>
      </c>
      <c r="J41" s="496" t="s">
        <v>741</v>
      </c>
      <c r="K41" s="497"/>
      <c r="L41" s="497"/>
      <c r="M41" s="497"/>
      <c r="N41" s="497"/>
      <c r="O41" s="497"/>
      <c r="P41" s="498"/>
      <c r="Q41" s="2"/>
      <c r="R41" s="2"/>
      <c r="S41" s="2"/>
      <c r="T41" s="2"/>
      <c r="U41" s="2"/>
      <c r="V41" s="2"/>
      <c r="W41" s="2"/>
      <c r="X41" s="2"/>
      <c r="Y41" s="2"/>
    </row>
    <row r="42" spans="1:25" x14ac:dyDescent="0.25">
      <c r="A42" s="2"/>
      <c r="B42" s="18">
        <f t="shared" si="0"/>
        <v>4</v>
      </c>
      <c r="C42" s="187" t="s">
        <v>461</v>
      </c>
      <c r="D42" s="187"/>
      <c r="E42" s="375">
        <f>Alloying!B78</f>
        <v>13800</v>
      </c>
      <c r="F42" s="374"/>
      <c r="G42" s="374"/>
      <c r="H42" s="380" t="str">
        <f>Alloying!E78</f>
        <v>J/mol</v>
      </c>
      <c r="I42" s="380">
        <v>3</v>
      </c>
      <c r="J42" s="496" t="s">
        <v>742</v>
      </c>
      <c r="K42" s="497"/>
      <c r="L42" s="497"/>
      <c r="M42" s="497"/>
      <c r="N42" s="497"/>
      <c r="O42" s="497"/>
      <c r="P42" s="498"/>
      <c r="Q42" s="2"/>
      <c r="R42" s="2"/>
      <c r="S42" s="2"/>
      <c r="T42" s="2"/>
      <c r="U42" s="2"/>
      <c r="V42" s="2"/>
      <c r="W42" s="2"/>
      <c r="X42" s="2"/>
      <c r="Y42" s="2"/>
    </row>
    <row r="43" spans="1:25" x14ac:dyDescent="0.25">
      <c r="A43" s="2"/>
      <c r="B43" s="18">
        <f t="shared" si="0"/>
        <v>5</v>
      </c>
      <c r="C43" s="187" t="s">
        <v>462</v>
      </c>
      <c r="D43" s="187"/>
      <c r="E43" s="375">
        <f>Alloying!B79</f>
        <v>1690</v>
      </c>
      <c r="F43" s="374"/>
      <c r="G43" s="374"/>
      <c r="H43" s="380" t="str">
        <f>Alloying!E79</f>
        <v>J/mol</v>
      </c>
      <c r="I43" s="380">
        <v>5</v>
      </c>
      <c r="J43" s="496" t="s">
        <v>743</v>
      </c>
      <c r="K43" s="497"/>
      <c r="L43" s="497"/>
      <c r="M43" s="497"/>
      <c r="N43" s="497"/>
      <c r="O43" s="497"/>
      <c r="P43" s="498"/>
      <c r="Q43" s="2"/>
      <c r="R43" s="2"/>
      <c r="S43" s="2"/>
      <c r="T43" s="2"/>
      <c r="U43" s="2"/>
      <c r="V43" s="2"/>
      <c r="W43" s="2"/>
      <c r="X43" s="2"/>
      <c r="Y43" s="2"/>
    </row>
    <row r="44" spans="1:25" x14ac:dyDescent="0.25">
      <c r="A44" s="2"/>
      <c r="B44" s="18">
        <f t="shared" si="0"/>
        <v>4</v>
      </c>
      <c r="C44" s="187" t="s">
        <v>463</v>
      </c>
      <c r="D44" s="187"/>
      <c r="E44" s="375">
        <f>Alloying!B80</f>
        <v>7100</v>
      </c>
      <c r="F44" s="374"/>
      <c r="G44" s="374"/>
      <c r="H44" s="380" t="str">
        <f>Alloying!E80</f>
        <v>J/mol</v>
      </c>
      <c r="I44" s="380">
        <v>6</v>
      </c>
      <c r="J44" s="496" t="s">
        <v>744</v>
      </c>
      <c r="K44" s="497"/>
      <c r="L44" s="497"/>
      <c r="M44" s="497"/>
      <c r="N44" s="497"/>
      <c r="O44" s="497"/>
      <c r="P44" s="498"/>
      <c r="Q44" s="2"/>
      <c r="R44" s="2"/>
      <c r="S44" s="2"/>
      <c r="T44" s="2"/>
      <c r="U44" s="2"/>
      <c r="V44" s="2"/>
      <c r="W44" s="2"/>
      <c r="X44" s="2"/>
      <c r="Y44" s="2"/>
    </row>
    <row r="45" spans="1:25" x14ac:dyDescent="0.25">
      <c r="A45" s="2"/>
      <c r="B45" s="18">
        <f t="shared" si="0"/>
        <v>9</v>
      </c>
      <c r="C45" s="187" t="s">
        <v>464</v>
      </c>
      <c r="D45" s="187" t="s">
        <v>579</v>
      </c>
      <c r="E45" s="378">
        <f>E39*E42</f>
        <v>363104.1457678962</v>
      </c>
      <c r="F45" s="374"/>
      <c r="G45" s="374"/>
      <c r="H45" s="380" t="str">
        <f>Alloying!E81</f>
        <v>J</v>
      </c>
      <c r="I45" s="380" t="s">
        <v>682</v>
      </c>
      <c r="J45" s="496" t="s">
        <v>745</v>
      </c>
      <c r="K45" s="497"/>
      <c r="L45" s="497"/>
      <c r="M45" s="497"/>
      <c r="N45" s="497"/>
      <c r="O45" s="497"/>
      <c r="P45" s="498"/>
      <c r="Q45" s="2"/>
      <c r="R45" s="2"/>
      <c r="S45" s="2"/>
      <c r="T45" s="2"/>
      <c r="U45" s="2"/>
      <c r="V45" s="2"/>
      <c r="W45" s="2"/>
      <c r="X45" s="2"/>
      <c r="Y45" s="2"/>
    </row>
    <row r="46" spans="1:25" x14ac:dyDescent="0.25">
      <c r="A46" s="2"/>
      <c r="B46" s="18">
        <f t="shared" si="0"/>
        <v>10</v>
      </c>
      <c r="C46" s="187" t="s">
        <v>465</v>
      </c>
      <c r="D46" s="187" t="s">
        <v>580</v>
      </c>
      <c r="E46" s="378">
        <f t="shared" ref="E46" si="2">E40*E43</f>
        <v>797.63635333874527</v>
      </c>
      <c r="F46" s="374"/>
      <c r="G46" s="374"/>
      <c r="H46" s="380" t="str">
        <f>Alloying!E82</f>
        <v>J</v>
      </c>
      <c r="I46" s="380" t="s">
        <v>681</v>
      </c>
      <c r="J46" s="496" t="s">
        <v>746</v>
      </c>
      <c r="K46" s="497"/>
      <c r="L46" s="497"/>
      <c r="M46" s="497"/>
      <c r="N46" s="497"/>
      <c r="O46" s="497"/>
      <c r="P46" s="498"/>
      <c r="Q46" s="2"/>
      <c r="R46" s="2"/>
      <c r="S46" s="2"/>
      <c r="T46" s="2"/>
      <c r="U46" s="2"/>
      <c r="V46" s="2"/>
      <c r="W46" s="2"/>
      <c r="X46" s="2"/>
      <c r="Y46" s="2"/>
    </row>
    <row r="47" spans="1:25" x14ac:dyDescent="0.25">
      <c r="A47" s="2"/>
      <c r="B47" s="18">
        <f t="shared" si="0"/>
        <v>9</v>
      </c>
      <c r="C47" s="187" t="s">
        <v>466</v>
      </c>
      <c r="D47" s="187" t="s">
        <v>581</v>
      </c>
      <c r="E47" s="378">
        <f>E41*E44</f>
        <v>27123.16207681076</v>
      </c>
      <c r="F47" s="374"/>
      <c r="G47" s="374"/>
      <c r="H47" s="380" t="str">
        <f>Alloying!E83</f>
        <v>J</v>
      </c>
      <c r="I47" s="380" t="s">
        <v>684</v>
      </c>
      <c r="J47" s="496" t="s">
        <v>747</v>
      </c>
      <c r="K47" s="497"/>
      <c r="L47" s="497"/>
      <c r="M47" s="497"/>
      <c r="N47" s="497"/>
      <c r="O47" s="497"/>
      <c r="P47" s="498"/>
      <c r="Q47" s="2"/>
      <c r="R47" s="2"/>
      <c r="S47" s="2"/>
      <c r="T47" s="2"/>
      <c r="U47" s="2"/>
      <c r="V47" s="2"/>
      <c r="W47" s="2"/>
      <c r="X47" s="2"/>
      <c r="Y47" s="2"/>
    </row>
    <row r="48" spans="1:25" x14ac:dyDescent="0.25">
      <c r="A48" s="2"/>
      <c r="B48" s="18">
        <f t="shared" si="0"/>
        <v>4</v>
      </c>
      <c r="C48" s="187" t="s">
        <v>467</v>
      </c>
      <c r="D48" s="187" t="s">
        <v>582</v>
      </c>
      <c r="E48" s="375">
        <f>E30*E33*E39</f>
        <v>999228.40369024337</v>
      </c>
      <c r="F48" s="374"/>
      <c r="G48" s="374"/>
      <c r="H48" s="380" t="str">
        <f>Alloying!E84</f>
        <v>J</v>
      </c>
      <c r="I48" s="380" t="s">
        <v>682</v>
      </c>
      <c r="J48" s="496" t="s">
        <v>748</v>
      </c>
      <c r="K48" s="497"/>
      <c r="L48" s="497"/>
      <c r="M48" s="497"/>
      <c r="N48" s="497"/>
      <c r="O48" s="497"/>
      <c r="P48" s="498"/>
      <c r="Q48" s="2"/>
      <c r="R48" s="2"/>
      <c r="S48" s="2"/>
      <c r="T48" s="2"/>
      <c r="U48" s="2"/>
      <c r="V48" s="2"/>
      <c r="W48" s="2"/>
      <c r="X48" s="2"/>
      <c r="Y48" s="2"/>
    </row>
    <row r="49" spans="1:25" x14ac:dyDescent="0.25">
      <c r="A49" s="2"/>
      <c r="B49" s="18">
        <f t="shared" si="0"/>
        <v>5</v>
      </c>
      <c r="C49" s="187" t="s">
        <v>468</v>
      </c>
      <c r="D49" s="187" t="s">
        <v>583</v>
      </c>
      <c r="E49" s="375">
        <f>E31*E34*E40</f>
        <v>62921.048160244674</v>
      </c>
      <c r="F49" s="374"/>
      <c r="G49" s="374"/>
      <c r="H49" s="380" t="str">
        <f>Alloying!E85</f>
        <v>J</v>
      </c>
      <c r="I49" s="380" t="s">
        <v>681</v>
      </c>
      <c r="J49" s="496" t="s">
        <v>749</v>
      </c>
      <c r="K49" s="497"/>
      <c r="L49" s="497"/>
      <c r="M49" s="497"/>
      <c r="N49" s="497"/>
      <c r="O49" s="497"/>
      <c r="P49" s="498"/>
      <c r="Q49" s="2"/>
      <c r="R49" s="2"/>
      <c r="S49" s="2"/>
      <c r="T49" s="2"/>
      <c r="U49" s="2"/>
      <c r="V49" s="2"/>
      <c r="W49" s="2"/>
      <c r="X49" s="2"/>
      <c r="Y49" s="2"/>
    </row>
    <row r="50" spans="1:25" x14ac:dyDescent="0.25">
      <c r="A50" s="2"/>
      <c r="B50" s="18">
        <f t="shared" si="0"/>
        <v>4</v>
      </c>
      <c r="C50" s="187" t="s">
        <v>469</v>
      </c>
      <c r="D50" s="187" t="s">
        <v>584</v>
      </c>
      <c r="E50" s="375">
        <f>E32*E35*E41</f>
        <v>104758.6293252742</v>
      </c>
      <c r="F50" s="374"/>
      <c r="G50" s="374"/>
      <c r="H50" s="380" t="str">
        <f>Alloying!E86</f>
        <v>J</v>
      </c>
      <c r="I50" s="380" t="s">
        <v>684</v>
      </c>
      <c r="J50" s="496" t="s">
        <v>750</v>
      </c>
      <c r="K50" s="497"/>
      <c r="L50" s="497"/>
      <c r="M50" s="497"/>
      <c r="N50" s="497"/>
      <c r="O50" s="497"/>
      <c r="P50" s="498"/>
      <c r="Q50" s="2"/>
      <c r="R50" s="2"/>
      <c r="S50" s="2"/>
      <c r="T50" s="2"/>
      <c r="U50" s="2"/>
      <c r="V50" s="2"/>
      <c r="W50" s="2"/>
      <c r="X50" s="2"/>
      <c r="Y50" s="2"/>
    </row>
    <row r="51" spans="1:25" x14ac:dyDescent="0.25">
      <c r="A51" s="2"/>
      <c r="B51" s="18">
        <f t="shared" si="0"/>
        <v>7</v>
      </c>
      <c r="C51" s="187" t="s">
        <v>470</v>
      </c>
      <c r="D51" s="187" t="s">
        <v>637</v>
      </c>
      <c r="E51" s="375">
        <f>E45+E48</f>
        <v>1362332.5494581396</v>
      </c>
      <c r="F51" s="374"/>
      <c r="G51" s="374"/>
      <c r="H51" s="380" t="str">
        <f>Alloying!E87</f>
        <v>J</v>
      </c>
      <c r="I51" s="380" t="s">
        <v>682</v>
      </c>
      <c r="J51" s="496" t="s">
        <v>751</v>
      </c>
      <c r="K51" s="497"/>
      <c r="L51" s="497"/>
      <c r="M51" s="497"/>
      <c r="N51" s="497"/>
      <c r="O51" s="497"/>
      <c r="P51" s="498"/>
      <c r="Q51" s="2"/>
      <c r="R51" s="2"/>
      <c r="S51" s="2"/>
      <c r="T51" s="2"/>
      <c r="U51" s="2"/>
      <c r="V51" s="2"/>
      <c r="W51" s="2"/>
      <c r="X51" s="2"/>
      <c r="Y51" s="2"/>
    </row>
    <row r="52" spans="1:25" x14ac:dyDescent="0.25">
      <c r="A52" s="2"/>
      <c r="B52" s="18">
        <f t="shared" si="0"/>
        <v>8</v>
      </c>
      <c r="C52" s="187" t="s">
        <v>471</v>
      </c>
      <c r="D52" s="187" t="s">
        <v>636</v>
      </c>
      <c r="E52" s="375">
        <f>E46+E49</f>
        <v>63718.684513583423</v>
      </c>
      <c r="F52" s="374"/>
      <c r="G52" s="374"/>
      <c r="H52" s="380" t="str">
        <f>Alloying!E88</f>
        <v>J</v>
      </c>
      <c r="I52" s="380" t="s">
        <v>681</v>
      </c>
      <c r="J52" s="496" t="s">
        <v>752</v>
      </c>
      <c r="K52" s="497"/>
      <c r="L52" s="497"/>
      <c r="M52" s="497"/>
      <c r="N52" s="497"/>
      <c r="O52" s="497"/>
      <c r="P52" s="498"/>
      <c r="Q52" s="2"/>
      <c r="R52" s="2"/>
      <c r="S52" s="2"/>
      <c r="T52" s="2"/>
      <c r="U52" s="2"/>
      <c r="V52" s="2"/>
      <c r="W52" s="2"/>
      <c r="X52" s="2"/>
      <c r="Y52" s="2"/>
    </row>
    <row r="53" spans="1:25" x14ac:dyDescent="0.25">
      <c r="A53" s="2"/>
      <c r="B53" s="18">
        <f t="shared" si="0"/>
        <v>7</v>
      </c>
      <c r="C53" s="381" t="s">
        <v>472</v>
      </c>
      <c r="D53" s="45" t="s">
        <v>635</v>
      </c>
      <c r="E53" s="375">
        <f>E47+E50</f>
        <v>131881.79140208496</v>
      </c>
      <c r="F53" s="46"/>
      <c r="G53" s="47"/>
      <c r="H53" s="382" t="s">
        <v>288</v>
      </c>
      <c r="I53" s="48" t="s">
        <v>684</v>
      </c>
      <c r="J53" s="496" t="s">
        <v>753</v>
      </c>
      <c r="K53" s="497"/>
      <c r="L53" s="497"/>
      <c r="M53" s="497"/>
      <c r="N53" s="497"/>
      <c r="O53" s="497"/>
      <c r="P53" s="498"/>
      <c r="Q53" s="2"/>
      <c r="R53" s="2"/>
      <c r="S53" s="2"/>
      <c r="T53" s="2"/>
      <c r="U53" s="2"/>
      <c r="V53" s="2"/>
      <c r="W53" s="2"/>
      <c r="X53" s="2"/>
      <c r="Y53" s="2"/>
    </row>
    <row r="54" spans="1:25" ht="15" customHeight="1" x14ac:dyDescent="0.25">
      <c r="A54" s="2"/>
      <c r="B54" s="18">
        <f t="shared" si="0"/>
        <v>14</v>
      </c>
      <c r="C54" s="381" t="s">
        <v>479</v>
      </c>
      <c r="D54" s="45" t="s">
        <v>585</v>
      </c>
      <c r="E54" s="375">
        <f>(E23*E51+E24*E53+E25*E52)/1000000</f>
        <v>1.0171247061335593</v>
      </c>
      <c r="F54" s="46"/>
      <c r="G54" s="47"/>
      <c r="H54" s="380" t="str">
        <f>Alloying!E92</f>
        <v>MJ</v>
      </c>
      <c r="I54" s="48" t="s">
        <v>685</v>
      </c>
      <c r="J54" s="496" t="s">
        <v>754</v>
      </c>
      <c r="K54" s="497"/>
      <c r="L54" s="497"/>
      <c r="M54" s="497"/>
      <c r="N54" s="497"/>
      <c r="O54" s="497"/>
      <c r="P54" s="498"/>
      <c r="Q54" s="2"/>
      <c r="R54" s="2"/>
      <c r="S54" s="2"/>
      <c r="T54" s="2"/>
      <c r="U54" s="2"/>
      <c r="V54" s="2"/>
      <c r="W54" s="2"/>
      <c r="X54" s="2"/>
      <c r="Y54" s="2"/>
    </row>
    <row r="55" spans="1:25" x14ac:dyDescent="0.25">
      <c r="A55" s="2"/>
      <c r="B55" s="18">
        <f t="shared" si="0"/>
        <v>14</v>
      </c>
      <c r="C55" s="381" t="s">
        <v>478</v>
      </c>
      <c r="D55" s="45" t="s">
        <v>586</v>
      </c>
      <c r="E55" s="377">
        <f>E23*E45+E24*E46+E25*E47</f>
        <v>261921.57838905483</v>
      </c>
      <c r="F55" s="46"/>
      <c r="G55" s="47"/>
      <c r="H55" s="380" t="str">
        <f>Alloying!E89</f>
        <v>J</v>
      </c>
      <c r="I55" s="48" t="s">
        <v>685</v>
      </c>
      <c r="J55" s="496" t="s">
        <v>755</v>
      </c>
      <c r="K55" s="497"/>
      <c r="L55" s="497"/>
      <c r="M55" s="497"/>
      <c r="N55" s="497"/>
      <c r="O55" s="497"/>
      <c r="P55" s="498"/>
      <c r="Q55" s="2"/>
      <c r="R55" s="2"/>
      <c r="S55" s="2"/>
      <c r="T55" s="2"/>
      <c r="U55" s="2"/>
      <c r="V55" s="2"/>
      <c r="W55" s="2"/>
      <c r="X55" s="2"/>
      <c r="Y55" s="2"/>
    </row>
    <row r="56" spans="1:25" x14ac:dyDescent="0.25">
      <c r="A56" s="2"/>
      <c r="B56" s="18">
        <f t="shared" si="0"/>
        <v>7</v>
      </c>
      <c r="C56" s="381" t="s">
        <v>384</v>
      </c>
      <c r="D56" s="45"/>
      <c r="E56" s="377">
        <f>Alloying!B93</f>
        <v>4187</v>
      </c>
      <c r="F56" s="46"/>
      <c r="G56" s="47"/>
      <c r="H56" s="380" t="str">
        <f>Alloying!E93</f>
        <v>J/kg*K</v>
      </c>
      <c r="I56" s="48">
        <v>7</v>
      </c>
      <c r="J56" s="496" t="s">
        <v>756</v>
      </c>
      <c r="K56" s="497"/>
      <c r="L56" s="497"/>
      <c r="M56" s="497"/>
      <c r="N56" s="497"/>
      <c r="O56" s="497"/>
      <c r="P56" s="498"/>
      <c r="Q56" s="2"/>
      <c r="R56" s="2"/>
      <c r="S56" s="2"/>
      <c r="T56" s="2"/>
      <c r="U56" s="2"/>
      <c r="V56" s="2"/>
      <c r="W56" s="2"/>
      <c r="X56" s="2"/>
      <c r="Y56" s="2"/>
    </row>
    <row r="57" spans="1:25" x14ac:dyDescent="0.25">
      <c r="A57" s="2"/>
      <c r="B57" s="18">
        <f t="shared" si="0"/>
        <v>13</v>
      </c>
      <c r="C57" s="381" t="s">
        <v>477</v>
      </c>
      <c r="D57" s="45"/>
      <c r="E57" s="377">
        <f>Alloying!B94</f>
        <v>10</v>
      </c>
      <c r="F57" s="379">
        <f>Alloying!C94</f>
        <v>5</v>
      </c>
      <c r="G57" s="379">
        <f>Alloying!D94</f>
        <v>20</v>
      </c>
      <c r="H57" s="380" t="str">
        <f>Alloying!E94</f>
        <v>∆C</v>
      </c>
      <c r="I57" s="48"/>
      <c r="J57" s="496" t="s">
        <v>935</v>
      </c>
      <c r="K57" s="497"/>
      <c r="L57" s="497"/>
      <c r="M57" s="497"/>
      <c r="N57" s="497"/>
      <c r="O57" s="497"/>
      <c r="P57" s="498"/>
      <c r="Q57" s="2"/>
      <c r="R57" s="2"/>
      <c r="S57" s="2"/>
      <c r="T57" s="2"/>
      <c r="U57" s="2"/>
      <c r="V57" s="2"/>
      <c r="W57" s="2"/>
      <c r="X57" s="2"/>
      <c r="Y57" s="2"/>
    </row>
    <row r="58" spans="1:25" x14ac:dyDescent="0.25">
      <c r="A58" s="2"/>
      <c r="B58" s="18">
        <f t="shared" si="0"/>
        <v>11</v>
      </c>
      <c r="C58" s="381" t="s">
        <v>475</v>
      </c>
      <c r="D58" s="45" t="s">
        <v>587</v>
      </c>
      <c r="E58" s="377">
        <f>E55/(E56*E57)</f>
        <v>6.2555905992131562</v>
      </c>
      <c r="F58" s="46"/>
      <c r="G58" s="47"/>
      <c r="H58" s="380" t="str">
        <f>Alloying!E95</f>
        <v>kg</v>
      </c>
      <c r="I58" s="48" t="s">
        <v>686</v>
      </c>
      <c r="J58" s="496" t="s">
        <v>757</v>
      </c>
      <c r="K58" s="497"/>
      <c r="L58" s="497"/>
      <c r="M58" s="497"/>
      <c r="N58" s="497"/>
      <c r="O58" s="497"/>
      <c r="P58" s="498"/>
      <c r="Q58" s="2"/>
      <c r="R58" s="2"/>
      <c r="S58" s="2"/>
      <c r="T58" s="2"/>
      <c r="U58" s="2"/>
      <c r="V58" s="2"/>
      <c r="W58" s="2"/>
      <c r="X58" s="2"/>
      <c r="Y58" s="2"/>
    </row>
    <row r="59" spans="1:25" x14ac:dyDescent="0.25">
      <c r="A59" s="2"/>
      <c r="B59" s="18">
        <f t="shared" si="0"/>
        <v>12</v>
      </c>
      <c r="C59" s="44" t="s">
        <v>480</v>
      </c>
      <c r="D59" s="45" t="s">
        <v>483</v>
      </c>
      <c r="E59" s="377">
        <f>E64</f>
        <v>2.0408163265306123</v>
      </c>
      <c r="F59" s="46"/>
      <c r="G59" s="47"/>
      <c r="H59" s="382" t="str">
        <f>Alloying!E97</f>
        <v>kg</v>
      </c>
      <c r="I59" s="48" t="s">
        <v>680</v>
      </c>
      <c r="J59" s="496" t="s">
        <v>758</v>
      </c>
      <c r="K59" s="497"/>
      <c r="L59" s="497"/>
      <c r="M59" s="497"/>
      <c r="N59" s="497"/>
      <c r="O59" s="497"/>
      <c r="P59" s="498"/>
      <c r="Q59" s="2"/>
      <c r="R59" s="2"/>
      <c r="S59" s="2"/>
      <c r="T59" s="2"/>
      <c r="U59" s="2"/>
      <c r="V59" s="2"/>
      <c r="W59" s="2"/>
      <c r="X59" s="2"/>
      <c r="Y59" s="2"/>
    </row>
    <row r="60" spans="1:25" x14ac:dyDescent="0.25">
      <c r="A60" s="2"/>
      <c r="B60" s="18">
        <f t="shared" si="0"/>
        <v>10</v>
      </c>
      <c r="C60" s="44" t="s">
        <v>573</v>
      </c>
      <c r="D60" s="45"/>
      <c r="E60" s="377">
        <f>'Hydrogen Decrepitation'!B19</f>
        <v>0.43</v>
      </c>
      <c r="F60" s="46"/>
      <c r="G60" s="47"/>
      <c r="H60" s="382" t="str">
        <f>'Hydrogen Decrepitation'!C19</f>
        <v>kg H2/kg NdFeB, cracked</v>
      </c>
      <c r="I60" s="48" t="s">
        <v>680</v>
      </c>
      <c r="J60" s="496" t="s">
        <v>760</v>
      </c>
      <c r="K60" s="497"/>
      <c r="L60" s="497"/>
      <c r="M60" s="497"/>
      <c r="N60" s="497"/>
      <c r="O60" s="497"/>
      <c r="P60" s="498"/>
      <c r="Q60" s="2"/>
      <c r="R60" s="2"/>
      <c r="S60" s="2"/>
      <c r="T60" s="2"/>
      <c r="U60" s="2"/>
      <c r="V60" s="2"/>
      <c r="W60" s="2"/>
      <c r="X60" s="2"/>
      <c r="Y60" s="2"/>
    </row>
    <row r="61" spans="1:25" x14ac:dyDescent="0.25">
      <c r="A61" s="2"/>
      <c r="B61" s="18">
        <f t="shared" si="0"/>
        <v>9</v>
      </c>
      <c r="C61" s="44" t="s">
        <v>481</v>
      </c>
      <c r="D61" s="45" t="s">
        <v>759</v>
      </c>
      <c r="E61" s="377">
        <f>E60*E64</f>
        <v>0.87755102040816324</v>
      </c>
      <c r="F61" s="46"/>
      <c r="G61" s="47"/>
      <c r="H61" s="382" t="str">
        <f>'Hydrogen Decrepitation'!C20</f>
        <v>kg</v>
      </c>
      <c r="I61" s="48" t="s">
        <v>680</v>
      </c>
      <c r="J61" s="496" t="s">
        <v>761</v>
      </c>
      <c r="K61" s="497"/>
      <c r="L61" s="497"/>
      <c r="M61" s="497"/>
      <c r="N61" s="497"/>
      <c r="O61" s="497"/>
      <c r="P61" s="498"/>
      <c r="Q61" s="2"/>
      <c r="R61" s="2"/>
      <c r="S61" s="2"/>
      <c r="T61" s="2"/>
      <c r="U61" s="2"/>
      <c r="V61" s="2"/>
      <c r="W61" s="2"/>
      <c r="X61" s="2"/>
      <c r="Y61" s="2"/>
    </row>
    <row r="62" spans="1:25" x14ac:dyDescent="0.25">
      <c r="A62" s="2"/>
      <c r="B62" s="18">
        <f t="shared" si="0"/>
        <v>15</v>
      </c>
      <c r="C62" s="183" t="s">
        <v>484</v>
      </c>
      <c r="D62" s="45"/>
      <c r="E62" s="377">
        <f>'Hydrogen Decrepitation'!B12</f>
        <v>0.1</v>
      </c>
      <c r="F62" s="46"/>
      <c r="G62" s="47"/>
      <c r="H62" s="382" t="str">
        <f>'Hydrogen Decrepitation'!C22</f>
        <v>kWh/kg NdFeB, cracked</v>
      </c>
      <c r="I62" s="48" t="s">
        <v>680</v>
      </c>
      <c r="J62" s="496" t="s">
        <v>762</v>
      </c>
      <c r="K62" s="497"/>
      <c r="L62" s="497"/>
      <c r="M62" s="497"/>
      <c r="N62" s="497"/>
      <c r="O62" s="497"/>
      <c r="P62" s="498"/>
      <c r="Q62" s="2"/>
      <c r="R62" s="2"/>
      <c r="S62" s="2"/>
      <c r="T62" s="2"/>
      <c r="U62" s="2"/>
      <c r="V62" s="2"/>
      <c r="W62" s="2"/>
      <c r="X62" s="2"/>
      <c r="Y62" s="2"/>
    </row>
    <row r="63" spans="1:25" x14ac:dyDescent="0.25">
      <c r="A63" s="2"/>
      <c r="B63" s="18">
        <f t="shared" si="0"/>
        <v>11</v>
      </c>
      <c r="C63" s="44" t="s">
        <v>482</v>
      </c>
      <c r="D63" s="45" t="s">
        <v>588</v>
      </c>
      <c r="E63" s="377">
        <f>E62*E64</f>
        <v>0.20408163265306123</v>
      </c>
      <c r="F63" s="46"/>
      <c r="G63" s="47"/>
      <c r="H63" s="382" t="str">
        <f>'Hydrogen Decrepitation'!C23</f>
        <v>kWh</v>
      </c>
      <c r="I63" s="48" t="s">
        <v>680</v>
      </c>
      <c r="J63" s="496" t="s">
        <v>763</v>
      </c>
      <c r="K63" s="497"/>
      <c r="L63" s="497"/>
      <c r="M63" s="497"/>
      <c r="N63" s="497"/>
      <c r="O63" s="497"/>
      <c r="P63" s="498"/>
      <c r="Q63" s="2"/>
      <c r="R63" s="2"/>
      <c r="S63" s="2"/>
      <c r="T63" s="2"/>
      <c r="U63" s="2"/>
      <c r="V63" s="2"/>
      <c r="W63" s="2"/>
      <c r="X63" s="2"/>
      <c r="Y63" s="2"/>
    </row>
    <row r="64" spans="1:25" x14ac:dyDescent="0.25">
      <c r="A64" s="2"/>
      <c r="B64" s="18">
        <f t="shared" si="0"/>
        <v>13</v>
      </c>
      <c r="C64" s="44" t="s">
        <v>483</v>
      </c>
      <c r="D64" s="45" t="s">
        <v>490</v>
      </c>
      <c r="E64" s="377">
        <f>E67</f>
        <v>2.0408163265306123</v>
      </c>
      <c r="F64" s="46"/>
      <c r="G64" s="47"/>
      <c r="H64" s="382" t="str">
        <f>'Hydrogen Decrepitation'!C25</f>
        <v>kg</v>
      </c>
      <c r="I64" s="48" t="s">
        <v>680</v>
      </c>
      <c r="J64" s="496" t="s">
        <v>764</v>
      </c>
      <c r="K64" s="497"/>
      <c r="L64" s="497"/>
      <c r="M64" s="497"/>
      <c r="N64" s="497"/>
      <c r="O64" s="497"/>
      <c r="P64" s="498"/>
      <c r="Q64" s="2"/>
      <c r="R64" s="2"/>
      <c r="S64" s="2"/>
      <c r="T64" s="2"/>
      <c r="U64" s="2"/>
      <c r="V64" s="2"/>
      <c r="W64" s="2"/>
      <c r="X64" s="2"/>
      <c r="Y64" s="2"/>
    </row>
    <row r="65" spans="1:25" x14ac:dyDescent="0.25">
      <c r="A65" s="2"/>
      <c r="B65" s="18">
        <f t="shared" si="0"/>
        <v>15</v>
      </c>
      <c r="C65" s="44" t="s">
        <v>489</v>
      </c>
      <c r="D65" s="45"/>
      <c r="E65" s="377">
        <f>'Jet Milling'!B15</f>
        <v>1.8</v>
      </c>
      <c r="F65" s="46"/>
      <c r="G65" s="47"/>
      <c r="H65" s="382" t="str">
        <f>'Jet Milling'!C15</f>
        <v>kWh/kg NdFeB, particles</v>
      </c>
      <c r="I65" s="48" t="s">
        <v>680</v>
      </c>
      <c r="J65" s="496" t="s">
        <v>765</v>
      </c>
      <c r="K65" s="497"/>
      <c r="L65" s="497"/>
      <c r="M65" s="497"/>
      <c r="N65" s="497"/>
      <c r="O65" s="497"/>
      <c r="P65" s="498"/>
      <c r="Q65" s="2"/>
      <c r="R65" s="2"/>
      <c r="S65" s="2"/>
      <c r="T65" s="2"/>
      <c r="U65" s="2"/>
      <c r="V65" s="2"/>
      <c r="W65" s="2"/>
      <c r="X65" s="2"/>
      <c r="Y65" s="2"/>
    </row>
    <row r="66" spans="1:25" x14ac:dyDescent="0.25">
      <c r="A66" s="2"/>
      <c r="B66" s="18">
        <f t="shared" si="0"/>
        <v>12</v>
      </c>
      <c r="C66" s="44" t="s">
        <v>488</v>
      </c>
      <c r="D66" s="45" t="s">
        <v>589</v>
      </c>
      <c r="E66" s="377">
        <f>E65*E67</f>
        <v>3.6734693877551021</v>
      </c>
      <c r="F66" s="46"/>
      <c r="G66" s="47"/>
      <c r="H66" s="382" t="str">
        <f>'Jet Milling'!C16</f>
        <v>kWh</v>
      </c>
      <c r="I66" s="48" t="s">
        <v>680</v>
      </c>
      <c r="J66" s="496" t="s">
        <v>766</v>
      </c>
      <c r="K66" s="497"/>
      <c r="L66" s="497"/>
      <c r="M66" s="497"/>
      <c r="N66" s="497"/>
      <c r="O66" s="497"/>
      <c r="P66" s="498"/>
      <c r="Q66" s="2"/>
      <c r="R66" s="2"/>
      <c r="S66" s="2"/>
      <c r="T66" s="2"/>
      <c r="U66" s="2"/>
      <c r="V66" s="2"/>
      <c r="W66" s="2"/>
      <c r="X66" s="2"/>
      <c r="Y66" s="2"/>
    </row>
    <row r="67" spans="1:25" x14ac:dyDescent="0.25">
      <c r="A67" s="2"/>
      <c r="B67" s="18">
        <f t="shared" si="0"/>
        <v>15</v>
      </c>
      <c r="C67" s="44" t="s">
        <v>490</v>
      </c>
      <c r="D67" s="45" t="s">
        <v>495</v>
      </c>
      <c r="E67" s="377">
        <f>E70</f>
        <v>2.0408163265306123</v>
      </c>
      <c r="F67" s="46"/>
      <c r="G67" s="47"/>
      <c r="H67" s="382" t="str">
        <f>'Jet Milling'!C18</f>
        <v>kg</v>
      </c>
      <c r="I67" s="48" t="s">
        <v>680</v>
      </c>
      <c r="J67" s="496" t="s">
        <v>767</v>
      </c>
      <c r="K67" s="497"/>
      <c r="L67" s="497"/>
      <c r="M67" s="497"/>
      <c r="N67" s="497"/>
      <c r="O67" s="497"/>
      <c r="P67" s="498"/>
      <c r="Q67" s="2"/>
      <c r="R67" s="2"/>
      <c r="S67" s="2"/>
      <c r="T67" s="2"/>
      <c r="U67" s="2"/>
      <c r="V67" s="2"/>
      <c r="W67" s="2"/>
      <c r="X67" s="2"/>
      <c r="Y67" s="2"/>
    </row>
    <row r="68" spans="1:25" x14ac:dyDescent="0.25">
      <c r="A68" s="2"/>
      <c r="B68" s="18">
        <f t="shared" si="0"/>
        <v>15</v>
      </c>
      <c r="C68" s="44" t="s">
        <v>493</v>
      </c>
      <c r="D68" s="45"/>
      <c r="E68" s="377">
        <f>'Aligning and Pressing'!B16</f>
        <v>0.4</v>
      </c>
      <c r="F68" s="46"/>
      <c r="G68" s="47"/>
      <c r="H68" s="382" t="str">
        <f>'Aligning and Pressing'!C16</f>
        <v>kWh/kg NdFeB, pressed</v>
      </c>
      <c r="I68" s="48" t="s">
        <v>680</v>
      </c>
      <c r="J68" s="496" t="s">
        <v>768</v>
      </c>
      <c r="K68" s="497"/>
      <c r="L68" s="497"/>
      <c r="M68" s="497"/>
      <c r="N68" s="497"/>
      <c r="O68" s="497"/>
      <c r="P68" s="498"/>
      <c r="Q68" s="2"/>
      <c r="R68" s="2"/>
      <c r="S68" s="2"/>
      <c r="T68" s="2"/>
      <c r="U68" s="2"/>
      <c r="V68" s="2"/>
      <c r="W68" s="2"/>
      <c r="X68" s="2"/>
      <c r="Y68" s="2"/>
    </row>
    <row r="69" spans="1:25" x14ac:dyDescent="0.25">
      <c r="A69" s="2"/>
      <c r="B69" s="18">
        <f t="shared" si="0"/>
        <v>13</v>
      </c>
      <c r="C69" s="44" t="s">
        <v>494</v>
      </c>
      <c r="D69" s="45" t="s">
        <v>590</v>
      </c>
      <c r="E69" s="377">
        <f>E68*E70</f>
        <v>0.81632653061224492</v>
      </c>
      <c r="F69" s="46"/>
      <c r="G69" s="47"/>
      <c r="H69" s="382" t="str">
        <f>'Aligning and Pressing'!C17</f>
        <v>kWh</v>
      </c>
      <c r="I69" s="48" t="s">
        <v>680</v>
      </c>
      <c r="J69" s="496" t="s">
        <v>769</v>
      </c>
      <c r="K69" s="497"/>
      <c r="L69" s="497"/>
      <c r="M69" s="497"/>
      <c r="N69" s="497"/>
      <c r="O69" s="497"/>
      <c r="P69" s="498"/>
      <c r="Q69" s="2"/>
      <c r="R69" s="2"/>
      <c r="S69" s="2"/>
      <c r="T69" s="2"/>
      <c r="U69" s="2"/>
      <c r="V69" s="2"/>
      <c r="W69" s="2"/>
      <c r="X69" s="2"/>
      <c r="Y69" s="2"/>
    </row>
    <row r="70" spans="1:25" x14ac:dyDescent="0.25">
      <c r="A70" s="2"/>
      <c r="B70" s="18">
        <f t="shared" si="0"/>
        <v>13</v>
      </c>
      <c r="C70" s="44" t="s">
        <v>495</v>
      </c>
      <c r="D70" s="45" t="s">
        <v>591</v>
      </c>
      <c r="E70" s="377">
        <f>1/E124*E127</f>
        <v>2.0408163265306123</v>
      </c>
      <c r="F70" s="46"/>
      <c r="G70" s="47"/>
      <c r="H70" s="382" t="str">
        <f>'Aligning and Pressing'!C19</f>
        <v>kg</v>
      </c>
      <c r="I70" s="48" t="s">
        <v>680</v>
      </c>
      <c r="J70" s="496" t="s">
        <v>770</v>
      </c>
      <c r="K70" s="497"/>
      <c r="L70" s="497"/>
      <c r="M70" s="497"/>
      <c r="N70" s="497"/>
      <c r="O70" s="497"/>
      <c r="P70" s="498"/>
      <c r="Q70" s="2"/>
      <c r="R70" s="2"/>
      <c r="S70" s="2"/>
      <c r="T70" s="2"/>
      <c r="U70" s="2"/>
      <c r="V70" s="2"/>
      <c r="W70" s="2"/>
      <c r="X70" s="2"/>
      <c r="Y70" s="2"/>
    </row>
    <row r="71" spans="1:25" x14ac:dyDescent="0.25">
      <c r="A71" s="2"/>
      <c r="B71" s="18">
        <f t="shared" si="0"/>
        <v>15</v>
      </c>
      <c r="C71" s="44" t="s">
        <v>502</v>
      </c>
      <c r="D71" s="45"/>
      <c r="E71" s="377">
        <f>'Vacuum Sintering'!H9</f>
        <v>5.0351500000000007</v>
      </c>
      <c r="F71" s="377">
        <f>'Vacuum Sintering'!I9</f>
        <v>1.4662999999999999</v>
      </c>
      <c r="G71" s="377">
        <f>'Vacuum Sintering'!J9</f>
        <v>8.604000000000001</v>
      </c>
      <c r="H71" s="382" t="str">
        <f>'Vacuum Sintering'!K9</f>
        <v>MJ/kg NdFeB, sintered block</v>
      </c>
      <c r="I71" s="48" t="s">
        <v>707</v>
      </c>
      <c r="J71" s="496" t="s">
        <v>771</v>
      </c>
      <c r="K71" s="497"/>
      <c r="L71" s="497"/>
      <c r="M71" s="497"/>
      <c r="N71" s="497"/>
      <c r="O71" s="497"/>
      <c r="P71" s="498"/>
      <c r="Q71" s="2"/>
      <c r="R71" s="2"/>
      <c r="S71" s="2"/>
      <c r="T71" s="2"/>
      <c r="U71" s="2"/>
      <c r="V71" s="2"/>
      <c r="W71" s="2"/>
      <c r="X71" s="2"/>
      <c r="Y71" s="2"/>
    </row>
    <row r="72" spans="1:25" x14ac:dyDescent="0.25">
      <c r="A72" s="2"/>
      <c r="B72" s="18">
        <f t="shared" si="0"/>
        <v>14</v>
      </c>
      <c r="C72" s="44" t="s">
        <v>500</v>
      </c>
      <c r="D72" s="45" t="s">
        <v>592</v>
      </c>
      <c r="E72" s="377">
        <f>E71*E77</f>
        <v>10.275816326530613</v>
      </c>
      <c r="F72" s="384"/>
      <c r="G72" s="383"/>
      <c r="H72" s="382" t="str">
        <f>'Vacuum Sintering'!K10</f>
        <v>MJ</v>
      </c>
      <c r="I72" s="48" t="s">
        <v>707</v>
      </c>
      <c r="J72" s="496" t="s">
        <v>772</v>
      </c>
      <c r="K72" s="497"/>
      <c r="L72" s="497"/>
      <c r="M72" s="497"/>
      <c r="N72" s="497"/>
      <c r="O72" s="497"/>
      <c r="P72" s="498"/>
      <c r="Q72" s="2"/>
      <c r="R72" s="2"/>
      <c r="S72" s="2"/>
      <c r="T72" s="2"/>
      <c r="U72" s="2"/>
      <c r="V72" s="2"/>
      <c r="W72" s="2"/>
      <c r="X72" s="2"/>
      <c r="Y72" s="2"/>
    </row>
    <row r="73" spans="1:25" x14ac:dyDescent="0.25">
      <c r="A73" s="2"/>
      <c r="B73" s="18">
        <f t="shared" si="0"/>
        <v>15</v>
      </c>
      <c r="C73" s="44" t="s">
        <v>504</v>
      </c>
      <c r="D73" s="45"/>
      <c r="E73" s="377">
        <f>'Vacuum Sintering'!H11</f>
        <v>0.01</v>
      </c>
      <c r="F73" s="46"/>
      <c r="G73" s="47"/>
      <c r="H73" s="382" t="str">
        <f>'Vacuum Sintering'!K11</f>
        <v>kWh/kg NdFeB, sintered block</v>
      </c>
      <c r="I73" s="48">
        <v>8</v>
      </c>
      <c r="J73" s="496" t="s">
        <v>773</v>
      </c>
      <c r="K73" s="497"/>
      <c r="L73" s="497"/>
      <c r="M73" s="497"/>
      <c r="N73" s="497"/>
      <c r="O73" s="497"/>
      <c r="P73" s="498"/>
      <c r="Q73" s="2"/>
      <c r="R73" s="2"/>
      <c r="S73" s="2"/>
      <c r="T73" s="2"/>
      <c r="U73" s="2"/>
      <c r="V73" s="2"/>
      <c r="W73" s="2"/>
      <c r="X73" s="2"/>
      <c r="Y73" s="2"/>
    </row>
    <row r="74" spans="1:25" x14ac:dyDescent="0.25">
      <c r="A74" s="2"/>
      <c r="B74" s="18">
        <f t="shared" si="0"/>
        <v>14</v>
      </c>
      <c r="C74" s="44" t="s">
        <v>506</v>
      </c>
      <c r="D74" s="45" t="s">
        <v>593</v>
      </c>
      <c r="E74" s="377">
        <f>E73*E77</f>
        <v>2.0408163265306124E-2</v>
      </c>
      <c r="F74" s="46"/>
      <c r="G74" s="47"/>
      <c r="H74" s="382" t="str">
        <f>'Vacuum Sintering'!K12</f>
        <v>kWh</v>
      </c>
      <c r="I74" s="48" t="s">
        <v>707</v>
      </c>
      <c r="J74" s="496" t="s">
        <v>774</v>
      </c>
      <c r="K74" s="497"/>
      <c r="L74" s="497"/>
      <c r="M74" s="497"/>
      <c r="N74" s="497"/>
      <c r="O74" s="497"/>
      <c r="P74" s="498"/>
      <c r="Q74" s="2"/>
      <c r="R74" s="2"/>
      <c r="S74" s="2"/>
      <c r="T74" s="2"/>
      <c r="U74" s="2"/>
      <c r="V74" s="2"/>
      <c r="W74" s="2"/>
      <c r="X74" s="2"/>
      <c r="Y74" s="2"/>
    </row>
    <row r="75" spans="1:25" x14ac:dyDescent="0.25">
      <c r="A75" s="2"/>
      <c r="B75" s="18">
        <f t="shared" si="0"/>
        <v>14</v>
      </c>
      <c r="C75" s="44" t="s">
        <v>507</v>
      </c>
      <c r="D75" s="45"/>
      <c r="E75" s="377">
        <f>'Vacuum Sintering'!H13</f>
        <v>0.5</v>
      </c>
      <c r="F75" s="46"/>
      <c r="G75" s="47"/>
      <c r="H75" s="382" t="str">
        <f>'Vacuum Sintering'!K13</f>
        <v>kg/kg NdFeB, sintered block</v>
      </c>
      <c r="I75" s="48">
        <v>8</v>
      </c>
      <c r="J75" s="496" t="s">
        <v>775</v>
      </c>
      <c r="K75" s="497"/>
      <c r="L75" s="497"/>
      <c r="M75" s="497"/>
      <c r="N75" s="497"/>
      <c r="O75" s="497"/>
      <c r="P75" s="498"/>
      <c r="Q75" s="2"/>
      <c r="R75" s="2"/>
      <c r="S75" s="2"/>
      <c r="T75" s="2"/>
      <c r="U75" s="2"/>
      <c r="V75" s="2"/>
      <c r="W75" s="2"/>
      <c r="X75" s="2"/>
      <c r="Y75" s="2"/>
    </row>
    <row r="76" spans="1:25" x14ac:dyDescent="0.25">
      <c r="A76" s="2"/>
      <c r="B76" s="18">
        <f t="shared" si="0"/>
        <v>15</v>
      </c>
      <c r="C76" s="44" t="s">
        <v>508</v>
      </c>
      <c r="D76" s="45" t="s">
        <v>594</v>
      </c>
      <c r="E76" s="377">
        <f>E75*E77</f>
        <v>1.0204081632653061</v>
      </c>
      <c r="F76" s="46"/>
      <c r="G76" s="47"/>
      <c r="H76" s="382" t="str">
        <f>'Vacuum Sintering'!K14</f>
        <v>kg</v>
      </c>
      <c r="I76" s="48" t="s">
        <v>707</v>
      </c>
      <c r="J76" s="496" t="s">
        <v>776</v>
      </c>
      <c r="K76" s="497"/>
      <c r="L76" s="497"/>
      <c r="M76" s="497"/>
      <c r="N76" s="497"/>
      <c r="O76" s="497"/>
      <c r="P76" s="498"/>
      <c r="Q76" s="2"/>
      <c r="R76" s="2"/>
      <c r="S76" s="2"/>
      <c r="T76" s="2"/>
      <c r="U76" s="2"/>
      <c r="V76" s="2"/>
      <c r="W76" s="2"/>
      <c r="X76" s="2"/>
      <c r="Y76" s="2"/>
    </row>
    <row r="77" spans="1:25" x14ac:dyDescent="0.25">
      <c r="A77" s="2"/>
      <c r="B77" s="18">
        <f t="shared" si="0"/>
        <v>14</v>
      </c>
      <c r="C77" s="44" t="s">
        <v>510</v>
      </c>
      <c r="D77" s="45" t="s">
        <v>591</v>
      </c>
      <c r="E77" s="377">
        <f>1/E124*E127</f>
        <v>2.0408163265306123</v>
      </c>
      <c r="F77" s="46"/>
      <c r="G77" s="47"/>
      <c r="H77" s="382" t="str">
        <f>'Vacuum Sintering'!K16</f>
        <v>kg</v>
      </c>
      <c r="I77" s="48" t="s">
        <v>680</v>
      </c>
      <c r="J77" s="496" t="s">
        <v>777</v>
      </c>
      <c r="K77" s="497"/>
      <c r="L77" s="497"/>
      <c r="M77" s="497"/>
      <c r="N77" s="497"/>
      <c r="O77" s="497"/>
      <c r="P77" s="498"/>
      <c r="Q77" s="2"/>
      <c r="R77" s="2"/>
      <c r="S77" s="2"/>
      <c r="T77" s="2"/>
      <c r="U77" s="2"/>
      <c r="V77" s="2"/>
      <c r="W77" s="2"/>
      <c r="X77" s="2"/>
      <c r="Y77" s="2"/>
    </row>
    <row r="78" spans="1:25" x14ac:dyDescent="0.25">
      <c r="A78" s="2"/>
      <c r="B78" s="18">
        <f t="shared" si="0"/>
        <v>14</v>
      </c>
      <c r="C78" s="44" t="s">
        <v>511</v>
      </c>
      <c r="D78" s="45"/>
      <c r="E78" s="377">
        <f>'Vacuum Sintering'!B14</f>
        <v>1.54</v>
      </c>
      <c r="F78" s="46"/>
      <c r="G78" s="47"/>
      <c r="H78" s="382" t="s">
        <v>503</v>
      </c>
      <c r="I78" s="48">
        <v>8</v>
      </c>
      <c r="J78" s="496" t="s">
        <v>778</v>
      </c>
      <c r="K78" s="497"/>
      <c r="L78" s="497"/>
      <c r="M78" s="497"/>
      <c r="N78" s="497"/>
      <c r="O78" s="497"/>
      <c r="P78" s="498"/>
      <c r="Q78" s="2"/>
      <c r="R78" s="2"/>
      <c r="S78" s="2"/>
      <c r="T78" s="2"/>
      <c r="U78" s="2"/>
      <c r="V78" s="2"/>
      <c r="W78" s="2"/>
      <c r="X78" s="2"/>
      <c r="Y78" s="2"/>
    </row>
    <row r="79" spans="1:25" x14ac:dyDescent="0.25">
      <c r="A79" s="2"/>
      <c r="B79" s="18">
        <f t="shared" si="0"/>
        <v>10</v>
      </c>
      <c r="C79" s="44" t="s">
        <v>512</v>
      </c>
      <c r="D79" s="45" t="s">
        <v>595</v>
      </c>
      <c r="E79" s="377">
        <f>E78*E77</f>
        <v>3.1428571428571428</v>
      </c>
      <c r="F79" s="46"/>
      <c r="G79" s="47"/>
      <c r="H79" s="382" t="s">
        <v>270</v>
      </c>
      <c r="I79" s="48" t="s">
        <v>707</v>
      </c>
      <c r="J79" s="496" t="s">
        <v>779</v>
      </c>
      <c r="K79" s="497"/>
      <c r="L79" s="497"/>
      <c r="M79" s="497"/>
      <c r="N79" s="497"/>
      <c r="O79" s="497"/>
      <c r="P79" s="498"/>
      <c r="Q79" s="2"/>
      <c r="R79" s="2"/>
      <c r="S79" s="2"/>
      <c r="T79" s="2"/>
      <c r="U79" s="2"/>
      <c r="V79" s="2"/>
      <c r="W79" s="2"/>
      <c r="X79" s="2"/>
      <c r="Y79" s="2"/>
    </row>
    <row r="80" spans="1:25" x14ac:dyDescent="0.25">
      <c r="A80" s="2"/>
      <c r="B80" s="18">
        <f t="shared" si="0"/>
        <v>12</v>
      </c>
      <c r="C80" s="44" t="s">
        <v>513</v>
      </c>
      <c r="D80" s="45"/>
      <c r="E80" s="377">
        <f>'Vacuum Sintering'!B15</f>
        <v>2.0599999999999999E-4</v>
      </c>
      <c r="F80" s="46"/>
      <c r="G80" s="47"/>
      <c r="H80" s="382" t="s">
        <v>509</v>
      </c>
      <c r="I80" s="48">
        <v>8</v>
      </c>
      <c r="J80" s="496" t="s">
        <v>791</v>
      </c>
      <c r="K80" s="497"/>
      <c r="L80" s="497"/>
      <c r="M80" s="497"/>
      <c r="N80" s="497"/>
      <c r="O80" s="497"/>
      <c r="P80" s="498"/>
      <c r="Q80" s="2"/>
      <c r="R80" s="2"/>
      <c r="S80" s="2"/>
      <c r="T80" s="2"/>
      <c r="U80" s="2"/>
      <c r="V80" s="2"/>
      <c r="W80" s="2"/>
      <c r="X80" s="2"/>
      <c r="Y80" s="2"/>
    </row>
    <row r="81" spans="1:25" x14ac:dyDescent="0.25">
      <c r="A81" s="2"/>
      <c r="B81" s="18">
        <f t="shared" si="0"/>
        <v>5</v>
      </c>
      <c r="C81" s="44" t="s">
        <v>426</v>
      </c>
      <c r="D81" s="45" t="s">
        <v>596</v>
      </c>
      <c r="E81" s="377">
        <f>E80*E77</f>
        <v>4.204081632653061E-4</v>
      </c>
      <c r="F81" s="46"/>
      <c r="G81" s="47"/>
      <c r="H81" s="382" t="s">
        <v>42</v>
      </c>
      <c r="I81" s="48" t="s">
        <v>707</v>
      </c>
      <c r="J81" s="496" t="s">
        <v>792</v>
      </c>
      <c r="K81" s="497"/>
      <c r="L81" s="497"/>
      <c r="M81" s="497"/>
      <c r="N81" s="497"/>
      <c r="O81" s="497"/>
      <c r="P81" s="498"/>
      <c r="Q81" s="2"/>
      <c r="R81" s="2"/>
      <c r="S81" s="2"/>
      <c r="T81" s="2"/>
      <c r="U81" s="2"/>
      <c r="V81" s="2"/>
      <c r="W81" s="2"/>
      <c r="X81" s="2"/>
      <c r="Y81" s="2"/>
    </row>
    <row r="82" spans="1:25" x14ac:dyDescent="0.25">
      <c r="A82" s="2"/>
      <c r="B82" s="18">
        <f t="shared" si="0"/>
        <v>9</v>
      </c>
      <c r="C82" s="44" t="s">
        <v>514</v>
      </c>
      <c r="D82" s="45"/>
      <c r="E82" s="377">
        <f>'Vacuum Sintering'!B16</f>
        <v>1.9300000000000001E-8</v>
      </c>
      <c r="F82" s="46"/>
      <c r="G82" s="47"/>
      <c r="H82" s="382" t="s">
        <v>509</v>
      </c>
      <c r="I82" s="48">
        <v>8</v>
      </c>
      <c r="J82" s="496" t="s">
        <v>793</v>
      </c>
      <c r="K82" s="497"/>
      <c r="L82" s="497"/>
      <c r="M82" s="497"/>
      <c r="N82" s="497"/>
      <c r="O82" s="497"/>
      <c r="P82" s="498"/>
      <c r="Q82" s="2"/>
      <c r="R82" s="2"/>
      <c r="S82" s="2"/>
      <c r="T82" s="2"/>
      <c r="U82" s="2"/>
      <c r="V82" s="2"/>
      <c r="W82" s="2"/>
      <c r="X82" s="2"/>
      <c r="Y82" s="2"/>
    </row>
    <row r="83" spans="1:25" x14ac:dyDescent="0.25">
      <c r="A83" s="2"/>
      <c r="B83" s="18">
        <f t="shared" si="0"/>
        <v>2</v>
      </c>
      <c r="C83" s="44" t="s">
        <v>310</v>
      </c>
      <c r="D83" s="45" t="s">
        <v>597</v>
      </c>
      <c r="E83" s="377">
        <f>E82*E77</f>
        <v>3.9387755102040821E-8</v>
      </c>
      <c r="F83" s="46"/>
      <c r="G83" s="47"/>
      <c r="H83" s="382" t="s">
        <v>42</v>
      </c>
      <c r="I83" s="48" t="s">
        <v>707</v>
      </c>
      <c r="J83" s="496" t="s">
        <v>794</v>
      </c>
      <c r="K83" s="497"/>
      <c r="L83" s="497"/>
      <c r="M83" s="497"/>
      <c r="N83" s="497"/>
      <c r="O83" s="497"/>
      <c r="P83" s="498"/>
      <c r="Q83" s="2"/>
      <c r="R83" s="2"/>
      <c r="S83" s="2"/>
      <c r="T83" s="2"/>
      <c r="U83" s="2"/>
      <c r="V83" s="2"/>
      <c r="W83" s="2"/>
      <c r="X83" s="2"/>
      <c r="Y83" s="2"/>
    </row>
    <row r="84" spans="1:25" x14ac:dyDescent="0.25">
      <c r="A84" s="2"/>
      <c r="B84" s="18">
        <f t="shared" si="0"/>
        <v>9</v>
      </c>
      <c r="C84" s="44" t="s">
        <v>515</v>
      </c>
      <c r="D84" s="45"/>
      <c r="E84" s="377">
        <f>'Vacuum Sintering'!B17</f>
        <v>2.5200000000000001E-8</v>
      </c>
      <c r="F84" s="46"/>
      <c r="G84" s="47"/>
      <c r="H84" s="382" t="s">
        <v>509</v>
      </c>
      <c r="I84" s="48">
        <v>8</v>
      </c>
      <c r="J84" s="496" t="s">
        <v>795</v>
      </c>
      <c r="K84" s="497"/>
      <c r="L84" s="497"/>
      <c r="M84" s="497"/>
      <c r="N84" s="497"/>
      <c r="O84" s="497"/>
      <c r="P84" s="498"/>
      <c r="Q84" s="2"/>
      <c r="R84" s="2"/>
      <c r="S84" s="2"/>
      <c r="T84" s="2"/>
      <c r="U84" s="2"/>
      <c r="V84" s="2"/>
      <c r="W84" s="2"/>
      <c r="X84" s="2"/>
      <c r="Y84" s="2"/>
    </row>
    <row r="85" spans="1:25" x14ac:dyDescent="0.25">
      <c r="A85" s="2"/>
      <c r="B85" s="18">
        <f t="shared" si="0"/>
        <v>2</v>
      </c>
      <c r="C85" s="44" t="s">
        <v>311</v>
      </c>
      <c r="D85" s="45" t="s">
        <v>598</v>
      </c>
      <c r="E85" s="377">
        <f>E84*E77</f>
        <v>5.142857142857143E-8</v>
      </c>
      <c r="F85" s="46"/>
      <c r="G85" s="47"/>
      <c r="H85" s="382" t="s">
        <v>42</v>
      </c>
      <c r="I85" s="48" t="s">
        <v>707</v>
      </c>
      <c r="J85" s="496" t="s">
        <v>796</v>
      </c>
      <c r="K85" s="497"/>
      <c r="L85" s="497"/>
      <c r="M85" s="497"/>
      <c r="N85" s="497"/>
      <c r="O85" s="497"/>
      <c r="P85" s="498"/>
      <c r="Q85" s="2"/>
      <c r="R85" s="2"/>
      <c r="S85" s="2"/>
      <c r="T85" s="2"/>
      <c r="U85" s="2"/>
      <c r="V85" s="2"/>
      <c r="W85" s="2"/>
      <c r="X85" s="2"/>
      <c r="Y85" s="2"/>
    </row>
    <row r="86" spans="1:25" x14ac:dyDescent="0.25">
      <c r="A86" s="2"/>
      <c r="B86" s="18">
        <f t="shared" si="0"/>
        <v>9</v>
      </c>
      <c r="C86" s="44" t="s">
        <v>516</v>
      </c>
      <c r="D86" s="45"/>
      <c r="E86" s="377">
        <f>'Vacuum Sintering'!B18</f>
        <v>7.6599999999999998E-8</v>
      </c>
      <c r="F86" s="46"/>
      <c r="G86" s="47"/>
      <c r="H86" s="382" t="s">
        <v>509</v>
      </c>
      <c r="I86" s="48">
        <v>8</v>
      </c>
      <c r="J86" s="496" t="s">
        <v>797</v>
      </c>
      <c r="K86" s="497"/>
      <c r="L86" s="497"/>
      <c r="M86" s="497"/>
      <c r="N86" s="497"/>
      <c r="O86" s="497"/>
      <c r="P86" s="498"/>
      <c r="Q86" s="2"/>
      <c r="R86" s="2"/>
      <c r="S86" s="2"/>
      <c r="T86" s="2"/>
      <c r="U86" s="2"/>
      <c r="V86" s="2"/>
      <c r="W86" s="2"/>
      <c r="X86" s="2"/>
      <c r="Y86" s="2"/>
    </row>
    <row r="87" spans="1:25" x14ac:dyDescent="0.25">
      <c r="A87" s="2"/>
      <c r="B87" s="18">
        <f t="shared" si="0"/>
        <v>2</v>
      </c>
      <c r="C87" s="44" t="s">
        <v>312</v>
      </c>
      <c r="D87" s="45" t="s">
        <v>599</v>
      </c>
      <c r="E87" s="377">
        <f>E86*E77</f>
        <v>1.563265306122449E-7</v>
      </c>
      <c r="F87" s="46"/>
      <c r="G87" s="47"/>
      <c r="H87" s="382" t="s">
        <v>42</v>
      </c>
      <c r="I87" s="48" t="s">
        <v>707</v>
      </c>
      <c r="J87" s="496" t="s">
        <v>798</v>
      </c>
      <c r="K87" s="497"/>
      <c r="L87" s="497"/>
      <c r="M87" s="497"/>
      <c r="N87" s="497"/>
      <c r="O87" s="497"/>
      <c r="P87" s="498"/>
      <c r="Q87" s="2"/>
      <c r="R87" s="2"/>
      <c r="S87" s="2"/>
      <c r="T87" s="2"/>
      <c r="U87" s="2"/>
      <c r="V87" s="2"/>
      <c r="W87" s="2"/>
      <c r="X87" s="2"/>
      <c r="Y87" s="2"/>
    </row>
    <row r="88" spans="1:25" x14ac:dyDescent="0.25">
      <c r="A88" s="2"/>
      <c r="B88" s="18">
        <f t="shared" si="0"/>
        <v>9</v>
      </c>
      <c r="C88" s="44" t="s">
        <v>517</v>
      </c>
      <c r="D88" s="45"/>
      <c r="E88" s="377">
        <f>'Vacuum Sintering'!B19</f>
        <v>7.5699999999999996E-8</v>
      </c>
      <c r="F88" s="46"/>
      <c r="G88" s="47"/>
      <c r="H88" s="382" t="s">
        <v>509</v>
      </c>
      <c r="I88" s="48">
        <v>8</v>
      </c>
      <c r="J88" s="496" t="s">
        <v>799</v>
      </c>
      <c r="K88" s="497"/>
      <c r="L88" s="497"/>
      <c r="M88" s="497"/>
      <c r="N88" s="497"/>
      <c r="O88" s="497"/>
      <c r="P88" s="498"/>
      <c r="Q88" s="2"/>
      <c r="R88" s="2"/>
      <c r="S88" s="2"/>
      <c r="T88" s="2"/>
      <c r="U88" s="2"/>
      <c r="V88" s="2"/>
      <c r="W88" s="2"/>
      <c r="X88" s="2"/>
      <c r="Y88" s="2"/>
    </row>
    <row r="89" spans="1:25" x14ac:dyDescent="0.25">
      <c r="A89" s="2"/>
      <c r="B89" s="18">
        <f t="shared" si="0"/>
        <v>2</v>
      </c>
      <c r="C89" s="44" t="s">
        <v>313</v>
      </c>
      <c r="D89" s="45" t="s">
        <v>600</v>
      </c>
      <c r="E89" s="377">
        <f>E88*E77</f>
        <v>1.5448979591836734E-7</v>
      </c>
      <c r="F89" s="46"/>
      <c r="G89" s="47"/>
      <c r="H89" s="382" t="s">
        <v>42</v>
      </c>
      <c r="I89" s="48" t="s">
        <v>707</v>
      </c>
      <c r="J89" s="496" t="s">
        <v>800</v>
      </c>
      <c r="K89" s="497"/>
      <c r="L89" s="497"/>
      <c r="M89" s="497"/>
      <c r="N89" s="497"/>
      <c r="O89" s="497"/>
      <c r="P89" s="498"/>
      <c r="Q89" s="2"/>
      <c r="R89" s="2"/>
      <c r="S89" s="2"/>
      <c r="T89" s="2"/>
      <c r="U89" s="2"/>
      <c r="V89" s="2"/>
      <c r="W89" s="2"/>
      <c r="X89" s="2"/>
      <c r="Y89" s="2"/>
    </row>
    <row r="90" spans="1:25" x14ac:dyDescent="0.25">
      <c r="A90" s="2"/>
      <c r="B90" s="18">
        <f t="shared" si="0"/>
        <v>9</v>
      </c>
      <c r="C90" s="44" t="s">
        <v>518</v>
      </c>
      <c r="D90" s="45"/>
      <c r="E90" s="377">
        <f>'Vacuum Sintering'!B20</f>
        <v>1.9299999999999999E-7</v>
      </c>
      <c r="F90" s="46"/>
      <c r="G90" s="47"/>
      <c r="H90" s="382" t="s">
        <v>509</v>
      </c>
      <c r="I90" s="48">
        <v>8</v>
      </c>
      <c r="J90" s="496" t="s">
        <v>801</v>
      </c>
      <c r="K90" s="497"/>
      <c r="L90" s="497"/>
      <c r="M90" s="497"/>
      <c r="N90" s="497"/>
      <c r="O90" s="497"/>
      <c r="P90" s="498"/>
      <c r="Q90" s="2"/>
      <c r="R90" s="2"/>
      <c r="S90" s="2"/>
      <c r="T90" s="2"/>
      <c r="U90" s="2"/>
      <c r="V90" s="2"/>
      <c r="W90" s="2"/>
      <c r="X90" s="2"/>
      <c r="Y90" s="2"/>
    </row>
    <row r="91" spans="1:25" x14ac:dyDescent="0.25">
      <c r="A91" s="2"/>
      <c r="B91" s="18">
        <f t="shared" si="0"/>
        <v>2</v>
      </c>
      <c r="C91" s="44" t="s">
        <v>314</v>
      </c>
      <c r="D91" s="45" t="s">
        <v>601</v>
      </c>
      <c r="E91" s="377">
        <f>E90*E77</f>
        <v>3.9387755102040813E-7</v>
      </c>
      <c r="F91" s="46"/>
      <c r="G91" s="47"/>
      <c r="H91" s="382" t="s">
        <v>42</v>
      </c>
      <c r="I91" s="48" t="s">
        <v>707</v>
      </c>
      <c r="J91" s="496" t="s">
        <v>802</v>
      </c>
      <c r="K91" s="497"/>
      <c r="L91" s="497"/>
      <c r="M91" s="497"/>
      <c r="N91" s="497"/>
      <c r="O91" s="497"/>
      <c r="P91" s="498"/>
      <c r="Q91" s="2"/>
      <c r="R91" s="2"/>
      <c r="S91" s="2"/>
      <c r="T91" s="2"/>
      <c r="U91" s="2"/>
      <c r="V91" s="2"/>
      <c r="W91" s="2"/>
      <c r="X91" s="2"/>
      <c r="Y91" s="2"/>
    </row>
    <row r="92" spans="1:25" x14ac:dyDescent="0.25">
      <c r="A92" s="2"/>
      <c r="B92" s="18">
        <f t="shared" si="0"/>
        <v>9</v>
      </c>
      <c r="C92" s="44" t="s">
        <v>519</v>
      </c>
      <c r="D92" s="45"/>
      <c r="E92" s="377">
        <f>'Vacuum Sintering'!B21</f>
        <v>1.9300000000000001E-8</v>
      </c>
      <c r="F92" s="46"/>
      <c r="G92" s="47"/>
      <c r="H92" s="382" t="s">
        <v>509</v>
      </c>
      <c r="I92" s="48">
        <v>8</v>
      </c>
      <c r="J92" s="496" t="s">
        <v>780</v>
      </c>
      <c r="K92" s="497"/>
      <c r="L92" s="497"/>
      <c r="M92" s="497"/>
      <c r="N92" s="497"/>
      <c r="O92" s="497"/>
      <c r="P92" s="498"/>
      <c r="Q92" s="2"/>
      <c r="R92" s="2"/>
      <c r="S92" s="2"/>
      <c r="T92" s="2"/>
      <c r="U92" s="2"/>
      <c r="V92" s="2"/>
      <c r="W92" s="2"/>
      <c r="X92" s="2"/>
      <c r="Y92" s="2"/>
    </row>
    <row r="93" spans="1:25" x14ac:dyDescent="0.25">
      <c r="A93" s="2"/>
      <c r="B93" s="18">
        <f t="shared" si="0"/>
        <v>6</v>
      </c>
      <c r="C93" s="44" t="s">
        <v>563</v>
      </c>
      <c r="D93" s="45" t="s">
        <v>602</v>
      </c>
      <c r="E93" s="377">
        <f>E92*E77</f>
        <v>3.9387755102040821E-8</v>
      </c>
      <c r="F93" s="46"/>
      <c r="G93" s="47"/>
      <c r="H93" s="382" t="s">
        <v>42</v>
      </c>
      <c r="I93" s="48" t="s">
        <v>707</v>
      </c>
      <c r="J93" s="496" t="s">
        <v>781</v>
      </c>
      <c r="K93" s="497"/>
      <c r="L93" s="497"/>
      <c r="M93" s="497"/>
      <c r="N93" s="497"/>
      <c r="O93" s="497"/>
      <c r="P93" s="498"/>
      <c r="Q93" s="2"/>
      <c r="R93" s="2"/>
      <c r="S93" s="2"/>
      <c r="T93" s="2"/>
      <c r="U93" s="2"/>
      <c r="V93" s="2"/>
      <c r="W93" s="2"/>
      <c r="X93" s="2"/>
      <c r="Y93" s="2"/>
    </row>
    <row r="94" spans="1:25" x14ac:dyDescent="0.25">
      <c r="A94" s="2"/>
      <c r="B94" s="18">
        <f t="shared" si="0"/>
        <v>9</v>
      </c>
      <c r="C94" s="44" t="s">
        <v>520</v>
      </c>
      <c r="D94" s="45"/>
      <c r="E94" s="377">
        <f>'Vacuum Sintering'!B22</f>
        <v>3.23E-6</v>
      </c>
      <c r="F94" s="46"/>
      <c r="G94" s="47"/>
      <c r="H94" s="382" t="s">
        <v>509</v>
      </c>
      <c r="I94" s="48">
        <v>8</v>
      </c>
      <c r="J94" s="496" t="s">
        <v>782</v>
      </c>
      <c r="K94" s="497"/>
      <c r="L94" s="497"/>
      <c r="M94" s="497"/>
      <c r="N94" s="497"/>
      <c r="O94" s="497"/>
      <c r="P94" s="498"/>
      <c r="Q94" s="2"/>
      <c r="R94" s="2"/>
      <c r="S94" s="2"/>
      <c r="T94" s="2"/>
      <c r="U94" s="2"/>
      <c r="V94" s="2"/>
      <c r="W94" s="2"/>
      <c r="X94" s="2"/>
      <c r="Y94" s="2"/>
    </row>
    <row r="95" spans="1:25" x14ac:dyDescent="0.25">
      <c r="A95" s="2"/>
      <c r="B95" s="18">
        <f t="shared" si="0"/>
        <v>2</v>
      </c>
      <c r="C95" s="44" t="s">
        <v>316</v>
      </c>
      <c r="D95" s="45" t="s">
        <v>603</v>
      </c>
      <c r="E95" s="377">
        <f>E94*E77</f>
        <v>6.5918367346938773E-6</v>
      </c>
      <c r="F95" s="46"/>
      <c r="G95" s="47"/>
      <c r="H95" s="382" t="s">
        <v>42</v>
      </c>
      <c r="I95" s="48" t="s">
        <v>707</v>
      </c>
      <c r="J95" s="496" t="s">
        <v>783</v>
      </c>
      <c r="K95" s="497"/>
      <c r="L95" s="497"/>
      <c r="M95" s="497"/>
      <c r="N95" s="497"/>
      <c r="O95" s="497"/>
      <c r="P95" s="498"/>
      <c r="Q95" s="2"/>
      <c r="R95" s="2"/>
      <c r="S95" s="2"/>
      <c r="T95" s="2"/>
      <c r="U95" s="2"/>
      <c r="V95" s="2"/>
      <c r="W95" s="2"/>
      <c r="X95" s="2"/>
      <c r="Y95" s="2"/>
    </row>
    <row r="96" spans="1:25" x14ac:dyDescent="0.25">
      <c r="A96" s="2"/>
      <c r="B96" s="18">
        <f t="shared" si="0"/>
        <v>9</v>
      </c>
      <c r="C96" s="44" t="s">
        <v>521</v>
      </c>
      <c r="D96" s="45"/>
      <c r="E96" s="377">
        <f>'Vacuum Sintering'!B23</f>
        <v>1.6000000000000001E-8</v>
      </c>
      <c r="F96" s="46"/>
      <c r="G96" s="47"/>
      <c r="H96" s="382" t="s">
        <v>509</v>
      </c>
      <c r="I96" s="48">
        <v>8</v>
      </c>
      <c r="J96" s="496" t="s">
        <v>784</v>
      </c>
      <c r="K96" s="497"/>
      <c r="L96" s="497"/>
      <c r="M96" s="497"/>
      <c r="N96" s="497"/>
      <c r="O96" s="497"/>
      <c r="P96" s="498"/>
      <c r="Q96" s="2"/>
      <c r="R96" s="2"/>
      <c r="S96" s="2"/>
      <c r="T96" s="2"/>
      <c r="U96" s="2"/>
      <c r="V96" s="2"/>
      <c r="W96" s="2"/>
      <c r="X96" s="2"/>
      <c r="Y96" s="2"/>
    </row>
    <row r="97" spans="1:25" x14ac:dyDescent="0.25">
      <c r="A97" s="2"/>
      <c r="B97" s="18">
        <f t="shared" si="0"/>
        <v>2</v>
      </c>
      <c r="C97" s="44" t="s">
        <v>317</v>
      </c>
      <c r="D97" s="45" t="s">
        <v>604</v>
      </c>
      <c r="E97" s="377">
        <f>E96*E77</f>
        <v>3.2653061224489801E-8</v>
      </c>
      <c r="F97" s="46"/>
      <c r="G97" s="47"/>
      <c r="H97" s="382" t="s">
        <v>42</v>
      </c>
      <c r="I97" s="48" t="s">
        <v>707</v>
      </c>
      <c r="J97" s="496" t="s">
        <v>785</v>
      </c>
      <c r="K97" s="497"/>
      <c r="L97" s="497"/>
      <c r="M97" s="497"/>
      <c r="N97" s="497"/>
      <c r="O97" s="497"/>
      <c r="P97" s="498"/>
      <c r="Q97" s="2"/>
      <c r="R97" s="2"/>
      <c r="S97" s="2"/>
      <c r="T97" s="2"/>
      <c r="U97" s="2"/>
      <c r="V97" s="2"/>
      <c r="W97" s="2"/>
      <c r="X97" s="2"/>
      <c r="Y97" s="2"/>
    </row>
    <row r="98" spans="1:25" x14ac:dyDescent="0.25">
      <c r="A98" s="2"/>
      <c r="B98" s="18">
        <f t="shared" si="0"/>
        <v>8</v>
      </c>
      <c r="C98" s="44" t="s">
        <v>522</v>
      </c>
      <c r="D98" s="45"/>
      <c r="E98" s="377">
        <f>'Vacuum Sintering'!B24</f>
        <v>1.15E-8</v>
      </c>
      <c r="F98" s="46"/>
      <c r="G98" s="47"/>
      <c r="H98" s="382" t="s">
        <v>509</v>
      </c>
      <c r="I98" s="48">
        <v>8</v>
      </c>
      <c r="J98" s="496" t="s">
        <v>786</v>
      </c>
      <c r="K98" s="497"/>
      <c r="L98" s="497"/>
      <c r="M98" s="497"/>
      <c r="N98" s="497"/>
      <c r="O98" s="497"/>
      <c r="P98" s="498"/>
      <c r="Q98" s="2"/>
      <c r="R98" s="2"/>
      <c r="S98" s="2"/>
      <c r="T98" s="2"/>
      <c r="U98" s="2"/>
      <c r="V98" s="2"/>
      <c r="W98" s="2"/>
      <c r="X98" s="2"/>
      <c r="Y98" s="2"/>
    </row>
    <row r="99" spans="1:25" x14ac:dyDescent="0.25">
      <c r="A99" s="2"/>
      <c r="B99" s="18">
        <f t="shared" si="0"/>
        <v>1</v>
      </c>
      <c r="C99" s="44" t="s">
        <v>318</v>
      </c>
      <c r="D99" s="45" t="s">
        <v>605</v>
      </c>
      <c r="E99" s="377">
        <f>E98*E77</f>
        <v>2.3469387755102044E-8</v>
      </c>
      <c r="F99" s="46"/>
      <c r="G99" s="47"/>
      <c r="H99" s="382" t="s">
        <v>42</v>
      </c>
      <c r="I99" s="48" t="s">
        <v>707</v>
      </c>
      <c r="J99" s="496" t="s">
        <v>787</v>
      </c>
      <c r="K99" s="497"/>
      <c r="L99" s="497"/>
      <c r="M99" s="497"/>
      <c r="N99" s="497"/>
      <c r="O99" s="497"/>
      <c r="P99" s="498"/>
      <c r="Q99" s="2"/>
      <c r="R99" s="2"/>
      <c r="S99" s="2"/>
      <c r="T99" s="2"/>
      <c r="U99" s="2"/>
      <c r="V99" s="2"/>
      <c r="W99" s="2"/>
      <c r="X99" s="2"/>
      <c r="Y99" s="2"/>
    </row>
    <row r="100" spans="1:25" x14ac:dyDescent="0.25">
      <c r="A100" s="2"/>
      <c r="B100" s="18">
        <f t="shared" si="0"/>
        <v>9</v>
      </c>
      <c r="C100" s="44" t="s">
        <v>523</v>
      </c>
      <c r="D100" s="45"/>
      <c r="E100" s="377">
        <f>'Vacuum Sintering'!B25</f>
        <v>8.2600000000000001E-7</v>
      </c>
      <c r="F100" s="46"/>
      <c r="G100" s="47"/>
      <c r="H100" s="382" t="s">
        <v>509</v>
      </c>
      <c r="I100" s="48">
        <v>8</v>
      </c>
      <c r="J100" s="496" t="s">
        <v>788</v>
      </c>
      <c r="K100" s="497"/>
      <c r="L100" s="497"/>
      <c r="M100" s="497"/>
      <c r="N100" s="497"/>
      <c r="O100" s="497"/>
      <c r="P100" s="498"/>
      <c r="Q100" s="2"/>
      <c r="R100" s="2"/>
      <c r="S100" s="2"/>
      <c r="T100" s="2"/>
      <c r="U100" s="2"/>
      <c r="V100" s="2"/>
      <c r="W100" s="2"/>
      <c r="X100" s="2"/>
      <c r="Y100" s="2"/>
    </row>
    <row r="101" spans="1:25" x14ac:dyDescent="0.25">
      <c r="A101" s="2"/>
      <c r="B101" s="18">
        <f t="shared" si="0"/>
        <v>2</v>
      </c>
      <c r="C101" s="44" t="s">
        <v>319</v>
      </c>
      <c r="D101" s="45" t="s">
        <v>606</v>
      </c>
      <c r="E101" s="377">
        <f>E100*E77</f>
        <v>1.6857142857142858E-6</v>
      </c>
      <c r="F101" s="46"/>
      <c r="G101" s="47"/>
      <c r="H101" s="382" t="s">
        <v>42</v>
      </c>
      <c r="I101" s="48" t="s">
        <v>707</v>
      </c>
      <c r="J101" s="496" t="s">
        <v>789</v>
      </c>
      <c r="K101" s="497"/>
      <c r="L101" s="497"/>
      <c r="M101" s="497"/>
      <c r="N101" s="497"/>
      <c r="O101" s="497"/>
      <c r="P101" s="498"/>
      <c r="Q101" s="2"/>
      <c r="R101" s="2"/>
      <c r="S101" s="2"/>
      <c r="T101" s="2"/>
      <c r="U101" s="2"/>
      <c r="V101" s="2"/>
      <c r="W101" s="2"/>
      <c r="X101" s="2"/>
      <c r="Y101" s="2"/>
    </row>
    <row r="102" spans="1:25" x14ac:dyDescent="0.25">
      <c r="A102" s="2"/>
      <c r="B102" s="18">
        <f t="shared" si="0"/>
        <v>10</v>
      </c>
      <c r="C102" s="44" t="s">
        <v>524</v>
      </c>
      <c r="D102" s="45"/>
      <c r="E102" s="377">
        <f>'Vacuum Sintering'!B26</f>
        <v>3.7599999999999999E-5</v>
      </c>
      <c r="F102" s="46"/>
      <c r="G102" s="47"/>
      <c r="H102" s="382" t="s">
        <v>509</v>
      </c>
      <c r="I102" s="48">
        <v>8</v>
      </c>
      <c r="J102" s="496" t="s">
        <v>790</v>
      </c>
      <c r="K102" s="497"/>
      <c r="L102" s="497"/>
      <c r="M102" s="497"/>
      <c r="N102" s="497"/>
      <c r="O102" s="497"/>
      <c r="P102" s="498"/>
      <c r="Q102" s="2"/>
      <c r="R102" s="2"/>
      <c r="S102" s="2"/>
      <c r="T102" s="2"/>
      <c r="U102" s="2"/>
      <c r="V102" s="2"/>
      <c r="W102" s="2"/>
      <c r="X102" s="2"/>
      <c r="Y102" s="2"/>
    </row>
    <row r="103" spans="1:25" x14ac:dyDescent="0.25">
      <c r="A103" s="2"/>
      <c r="B103" s="18">
        <f t="shared" si="0"/>
        <v>3</v>
      </c>
      <c r="C103" s="44" t="s">
        <v>320</v>
      </c>
      <c r="D103" s="45" t="s">
        <v>607</v>
      </c>
      <c r="E103" s="377">
        <f>E102*E77</f>
        <v>7.6734693877551026E-5</v>
      </c>
      <c r="F103" s="46"/>
      <c r="G103" s="47"/>
      <c r="H103" s="382" t="s">
        <v>42</v>
      </c>
      <c r="I103" s="48" t="s">
        <v>707</v>
      </c>
      <c r="J103" s="496" t="s">
        <v>803</v>
      </c>
      <c r="K103" s="497"/>
      <c r="L103" s="497"/>
      <c r="M103" s="497"/>
      <c r="N103" s="497"/>
      <c r="O103" s="497"/>
      <c r="P103" s="498"/>
      <c r="Q103" s="2"/>
      <c r="R103" s="2"/>
      <c r="S103" s="2"/>
      <c r="T103" s="2"/>
      <c r="U103" s="2"/>
      <c r="V103" s="2"/>
      <c r="W103" s="2"/>
      <c r="X103" s="2"/>
      <c r="Y103" s="2"/>
    </row>
    <row r="104" spans="1:25" x14ac:dyDescent="0.25">
      <c r="A104" s="2"/>
      <c r="B104" s="18">
        <f t="shared" si="0"/>
        <v>9</v>
      </c>
      <c r="C104" s="44" t="s">
        <v>525</v>
      </c>
      <c r="D104" s="45"/>
      <c r="E104" s="377">
        <f>'Vacuum Sintering'!B27</f>
        <v>2.2500000000000001E-6</v>
      </c>
      <c r="F104" s="46"/>
      <c r="G104" s="47"/>
      <c r="H104" s="382" t="s">
        <v>509</v>
      </c>
      <c r="I104" s="48">
        <v>8</v>
      </c>
      <c r="J104" s="496" t="s">
        <v>804</v>
      </c>
      <c r="K104" s="497"/>
      <c r="L104" s="497"/>
      <c r="M104" s="497"/>
      <c r="N104" s="497"/>
      <c r="O104" s="497"/>
      <c r="P104" s="498"/>
      <c r="Q104" s="2"/>
      <c r="R104" s="2"/>
      <c r="S104" s="2"/>
      <c r="T104" s="2"/>
      <c r="U104" s="2"/>
      <c r="V104" s="2"/>
      <c r="W104" s="2"/>
      <c r="X104" s="2"/>
      <c r="Y104" s="2"/>
    </row>
    <row r="105" spans="1:25" x14ac:dyDescent="0.25">
      <c r="A105" s="2"/>
      <c r="B105" s="18">
        <f t="shared" ref="B105:B164" si="3">LEN(C105)</f>
        <v>2</v>
      </c>
      <c r="C105" s="44" t="s">
        <v>321</v>
      </c>
      <c r="D105" s="45" t="s">
        <v>608</v>
      </c>
      <c r="E105" s="377">
        <f>E104*E77</f>
        <v>4.5918367346938778E-6</v>
      </c>
      <c r="F105" s="46"/>
      <c r="G105" s="47"/>
      <c r="H105" s="382" t="s">
        <v>42</v>
      </c>
      <c r="I105" s="48" t="s">
        <v>707</v>
      </c>
      <c r="J105" s="496" t="s">
        <v>805</v>
      </c>
      <c r="K105" s="497"/>
      <c r="L105" s="497"/>
      <c r="M105" s="497"/>
      <c r="N105" s="497"/>
      <c r="O105" s="497"/>
      <c r="P105" s="498"/>
      <c r="Q105" s="2"/>
      <c r="R105" s="2"/>
      <c r="S105" s="2"/>
      <c r="T105" s="2"/>
      <c r="U105" s="2"/>
      <c r="V105" s="2"/>
      <c r="W105" s="2"/>
      <c r="X105" s="2"/>
      <c r="Y105" s="2"/>
    </row>
    <row r="106" spans="1:25" x14ac:dyDescent="0.25">
      <c r="A106" s="2"/>
      <c r="B106" s="18">
        <f t="shared" si="3"/>
        <v>10</v>
      </c>
      <c r="C106" s="44" t="s">
        <v>526</v>
      </c>
      <c r="D106" s="45"/>
      <c r="E106" s="377">
        <f>'Vacuum Sintering'!B28</f>
        <v>5.2700000000000002E-4</v>
      </c>
      <c r="F106" s="46"/>
      <c r="G106" s="47"/>
      <c r="H106" s="382" t="s">
        <v>509</v>
      </c>
      <c r="I106" s="48">
        <v>8</v>
      </c>
      <c r="J106" s="496" t="s">
        <v>806</v>
      </c>
      <c r="K106" s="497"/>
      <c r="L106" s="497"/>
      <c r="M106" s="497"/>
      <c r="N106" s="497"/>
      <c r="O106" s="497"/>
      <c r="P106" s="498"/>
      <c r="Q106" s="2"/>
      <c r="R106" s="2"/>
      <c r="S106" s="2"/>
      <c r="T106" s="2"/>
      <c r="U106" s="2"/>
      <c r="V106" s="2"/>
      <c r="W106" s="2"/>
      <c r="X106" s="2"/>
      <c r="Y106" s="2"/>
    </row>
    <row r="107" spans="1:25" x14ac:dyDescent="0.25">
      <c r="A107" s="2"/>
      <c r="B107" s="18">
        <f t="shared" si="3"/>
        <v>3</v>
      </c>
      <c r="C107" s="44" t="s">
        <v>527</v>
      </c>
      <c r="D107" s="45" t="s">
        <v>609</v>
      </c>
      <c r="E107" s="377">
        <f>E106*E77</f>
        <v>1.0755102040816327E-3</v>
      </c>
      <c r="F107" s="46"/>
      <c r="G107" s="47"/>
      <c r="H107" s="382" t="s">
        <v>42</v>
      </c>
      <c r="I107" s="48" t="s">
        <v>707</v>
      </c>
      <c r="J107" s="496" t="s">
        <v>807</v>
      </c>
      <c r="K107" s="497"/>
      <c r="L107" s="497"/>
      <c r="M107" s="497"/>
      <c r="N107" s="497"/>
      <c r="O107" s="497"/>
      <c r="P107" s="498"/>
      <c r="Q107" s="2"/>
      <c r="R107" s="2"/>
      <c r="S107" s="2"/>
      <c r="T107" s="2"/>
      <c r="U107" s="2"/>
      <c r="V107" s="2"/>
      <c r="W107" s="2"/>
      <c r="X107" s="2"/>
      <c r="Y107" s="2"/>
    </row>
    <row r="108" spans="1:25" x14ac:dyDescent="0.25">
      <c r="A108" s="2"/>
      <c r="B108" s="18">
        <f t="shared" si="3"/>
        <v>10</v>
      </c>
      <c r="C108" s="44" t="s">
        <v>528</v>
      </c>
      <c r="D108" s="45"/>
      <c r="E108" s="377">
        <f>'Vacuum Sintering'!B29</f>
        <v>1.2600000000000001E-3</v>
      </c>
      <c r="F108" s="46"/>
      <c r="G108" s="47"/>
      <c r="H108" s="382" t="s">
        <v>509</v>
      </c>
      <c r="I108" s="48">
        <v>8</v>
      </c>
      <c r="J108" s="496" t="s">
        <v>808</v>
      </c>
      <c r="K108" s="497"/>
      <c r="L108" s="497"/>
      <c r="M108" s="497"/>
      <c r="N108" s="497"/>
      <c r="O108" s="497"/>
      <c r="P108" s="498"/>
      <c r="Q108" s="2"/>
      <c r="R108" s="2"/>
      <c r="S108" s="2"/>
      <c r="T108" s="2"/>
      <c r="U108" s="2"/>
      <c r="V108" s="2"/>
      <c r="W108" s="2"/>
      <c r="X108" s="2"/>
      <c r="Y108" s="2"/>
    </row>
    <row r="109" spans="1:25" x14ac:dyDescent="0.25">
      <c r="A109" s="2"/>
      <c r="B109" s="18">
        <f t="shared" si="3"/>
        <v>3</v>
      </c>
      <c r="C109" s="44" t="s">
        <v>323</v>
      </c>
      <c r="D109" s="45" t="s">
        <v>610</v>
      </c>
      <c r="E109" s="377">
        <f>E108*E77</f>
        <v>2.5714285714285717E-3</v>
      </c>
      <c r="F109" s="46"/>
      <c r="G109" s="47"/>
      <c r="H109" s="382" t="s">
        <v>42</v>
      </c>
      <c r="I109" s="48" t="s">
        <v>707</v>
      </c>
      <c r="J109" s="496" t="s">
        <v>809</v>
      </c>
      <c r="K109" s="497"/>
      <c r="L109" s="497"/>
      <c r="M109" s="497"/>
      <c r="N109" s="497"/>
      <c r="O109" s="497"/>
      <c r="P109" s="498"/>
      <c r="Q109" s="2"/>
      <c r="R109" s="2"/>
      <c r="S109" s="2"/>
      <c r="T109" s="2"/>
      <c r="U109" s="2"/>
      <c r="V109" s="2"/>
      <c r="W109" s="2"/>
      <c r="X109" s="2"/>
      <c r="Y109" s="2"/>
    </row>
    <row r="110" spans="1:25" x14ac:dyDescent="0.25">
      <c r="A110" s="2"/>
      <c r="B110" s="18">
        <f t="shared" si="3"/>
        <v>9</v>
      </c>
      <c r="C110" s="44" t="s">
        <v>529</v>
      </c>
      <c r="D110" s="45"/>
      <c r="E110" s="377">
        <f>'Vacuum Sintering'!B30</f>
        <v>2.5700000000000001E-2</v>
      </c>
      <c r="F110" s="46"/>
      <c r="G110" s="47"/>
      <c r="H110" s="382" t="s">
        <v>509</v>
      </c>
      <c r="I110" s="48">
        <v>8</v>
      </c>
      <c r="J110" s="496" t="s">
        <v>810</v>
      </c>
      <c r="K110" s="497"/>
      <c r="L110" s="497"/>
      <c r="M110" s="497"/>
      <c r="N110" s="497"/>
      <c r="O110" s="497"/>
      <c r="P110" s="498"/>
      <c r="Q110" s="2"/>
      <c r="R110" s="2"/>
      <c r="S110" s="2"/>
      <c r="T110" s="2"/>
      <c r="U110" s="2"/>
      <c r="V110" s="2"/>
      <c r="W110" s="2"/>
      <c r="X110" s="2"/>
      <c r="Y110" s="2"/>
    </row>
    <row r="111" spans="1:25" x14ac:dyDescent="0.25">
      <c r="A111" s="2"/>
      <c r="B111" s="18">
        <f t="shared" si="3"/>
        <v>2</v>
      </c>
      <c r="C111" s="44" t="s">
        <v>324</v>
      </c>
      <c r="D111" s="45" t="s">
        <v>611</v>
      </c>
      <c r="E111" s="377">
        <f>E110*E77</f>
        <v>5.2448979591836739E-2</v>
      </c>
      <c r="F111" s="46"/>
      <c r="G111" s="47"/>
      <c r="H111" s="382" t="s">
        <v>42</v>
      </c>
      <c r="I111" s="48" t="s">
        <v>707</v>
      </c>
      <c r="J111" s="486" t="s">
        <v>811</v>
      </c>
      <c r="K111" s="504"/>
      <c r="L111" s="504"/>
      <c r="M111" s="504"/>
      <c r="N111" s="504"/>
      <c r="O111" s="504"/>
      <c r="P111" s="505"/>
      <c r="Q111" s="2"/>
      <c r="R111" s="2"/>
      <c r="S111" s="2"/>
      <c r="T111" s="2"/>
      <c r="U111" s="2"/>
      <c r="V111" s="2"/>
      <c r="W111" s="2"/>
      <c r="X111" s="2"/>
      <c r="Y111" s="2"/>
    </row>
    <row r="112" spans="1:25" x14ac:dyDescent="0.25">
      <c r="A112" s="2"/>
      <c r="B112" s="18">
        <f t="shared" si="3"/>
        <v>10</v>
      </c>
      <c r="C112" s="44" t="s">
        <v>530</v>
      </c>
      <c r="D112" s="45"/>
      <c r="E112" s="377">
        <f>'Vacuum Sintering'!B31</f>
        <v>0.20399999999999999</v>
      </c>
      <c r="F112" s="46"/>
      <c r="G112" s="47"/>
      <c r="H112" s="382" t="s">
        <v>509</v>
      </c>
      <c r="I112" s="48">
        <v>8</v>
      </c>
      <c r="J112" s="486" t="s">
        <v>812</v>
      </c>
      <c r="K112" s="504"/>
      <c r="L112" s="504"/>
      <c r="M112" s="504"/>
      <c r="N112" s="504"/>
      <c r="O112" s="504"/>
      <c r="P112" s="505"/>
      <c r="Q112" s="2"/>
      <c r="R112" s="2"/>
      <c r="S112" s="2"/>
      <c r="T112" s="2"/>
      <c r="U112" s="2"/>
      <c r="V112" s="2"/>
      <c r="W112" s="2"/>
      <c r="X112" s="2"/>
      <c r="Y112" s="2"/>
    </row>
    <row r="113" spans="1:25" x14ac:dyDescent="0.25">
      <c r="A113" s="2"/>
      <c r="B113" s="18">
        <f t="shared" si="3"/>
        <v>3</v>
      </c>
      <c r="C113" s="44" t="s">
        <v>325</v>
      </c>
      <c r="D113" s="45" t="s">
        <v>612</v>
      </c>
      <c r="E113" s="377">
        <f>E112*E77</f>
        <v>0.41632653061224489</v>
      </c>
      <c r="F113" s="46"/>
      <c r="G113" s="47"/>
      <c r="H113" s="382" t="s">
        <v>42</v>
      </c>
      <c r="I113" s="48" t="s">
        <v>707</v>
      </c>
      <c r="J113" s="486" t="s">
        <v>813</v>
      </c>
      <c r="K113" s="504"/>
      <c r="L113" s="504"/>
      <c r="M113" s="504"/>
      <c r="N113" s="504"/>
      <c r="O113" s="504"/>
      <c r="P113" s="505"/>
      <c r="Q113" s="2"/>
      <c r="R113" s="2"/>
      <c r="S113" s="2"/>
      <c r="T113" s="2"/>
      <c r="U113" s="2"/>
      <c r="V113" s="2"/>
      <c r="W113" s="2"/>
      <c r="X113" s="2"/>
      <c r="Y113" s="2"/>
    </row>
    <row r="114" spans="1:25" x14ac:dyDescent="0.25">
      <c r="A114" s="2"/>
      <c r="B114" s="18">
        <f t="shared" si="3"/>
        <v>10</v>
      </c>
      <c r="C114" s="44" t="s">
        <v>531</v>
      </c>
      <c r="D114" s="45"/>
      <c r="E114" s="377">
        <f>'Vacuum Sintering'!B32</f>
        <v>1.3799999999999999E-4</v>
      </c>
      <c r="F114" s="46"/>
      <c r="G114" s="47"/>
      <c r="H114" s="382" t="s">
        <v>509</v>
      </c>
      <c r="I114" s="48">
        <v>8</v>
      </c>
      <c r="J114" s="486" t="s">
        <v>814</v>
      </c>
      <c r="K114" s="504"/>
      <c r="L114" s="504"/>
      <c r="M114" s="504"/>
      <c r="N114" s="504"/>
      <c r="O114" s="504"/>
      <c r="P114" s="505"/>
      <c r="Q114" s="2"/>
      <c r="R114" s="2"/>
      <c r="S114" s="2"/>
      <c r="T114" s="2"/>
      <c r="U114" s="2"/>
      <c r="V114" s="2"/>
      <c r="W114" s="2"/>
      <c r="X114" s="2"/>
      <c r="Y114" s="2"/>
    </row>
    <row r="115" spans="1:25" x14ac:dyDescent="0.25">
      <c r="A115" s="2"/>
      <c r="B115" s="18">
        <f t="shared" si="3"/>
        <v>3</v>
      </c>
      <c r="C115" s="44" t="s">
        <v>326</v>
      </c>
      <c r="D115" s="45" t="s">
        <v>613</v>
      </c>
      <c r="E115" s="377">
        <f>E114*E77</f>
        <v>2.8163265306122449E-4</v>
      </c>
      <c r="F115" s="46"/>
      <c r="G115" s="47"/>
      <c r="H115" s="382" t="s">
        <v>42</v>
      </c>
      <c r="I115" s="48" t="s">
        <v>707</v>
      </c>
      <c r="J115" s="486" t="s">
        <v>815</v>
      </c>
      <c r="K115" s="504"/>
      <c r="L115" s="504"/>
      <c r="M115" s="504"/>
      <c r="N115" s="504"/>
      <c r="O115" s="504"/>
      <c r="P115" s="505"/>
      <c r="Q115" s="2"/>
      <c r="R115" s="2"/>
      <c r="S115" s="2"/>
      <c r="T115" s="2"/>
      <c r="U115" s="2"/>
      <c r="V115" s="2"/>
      <c r="W115" s="2"/>
      <c r="X115" s="2"/>
      <c r="Y115" s="2"/>
    </row>
    <row r="116" spans="1:25" x14ac:dyDescent="0.25">
      <c r="A116" s="2"/>
      <c r="B116" s="18">
        <f t="shared" si="3"/>
        <v>10</v>
      </c>
      <c r="C116" s="44" t="s">
        <v>532</v>
      </c>
      <c r="D116" s="45"/>
      <c r="E116" s="377">
        <f>'Vacuum Sintering'!B33</f>
        <v>4.7200000000000002E-10</v>
      </c>
      <c r="F116" s="46"/>
      <c r="G116" s="47"/>
      <c r="H116" s="382" t="s">
        <v>509</v>
      </c>
      <c r="I116" s="48">
        <v>8</v>
      </c>
      <c r="J116" s="486" t="s">
        <v>816</v>
      </c>
      <c r="K116" s="504"/>
      <c r="L116" s="504"/>
      <c r="M116" s="504"/>
      <c r="N116" s="504"/>
      <c r="O116" s="504"/>
      <c r="P116" s="505"/>
      <c r="Q116" s="2"/>
      <c r="R116" s="2"/>
      <c r="S116" s="2"/>
      <c r="T116" s="2"/>
      <c r="U116" s="2"/>
      <c r="V116" s="2"/>
      <c r="W116" s="2"/>
      <c r="X116" s="2"/>
      <c r="Y116" s="2"/>
    </row>
    <row r="117" spans="1:25" x14ac:dyDescent="0.25">
      <c r="A117" s="2"/>
      <c r="B117" s="18">
        <f t="shared" si="3"/>
        <v>3</v>
      </c>
      <c r="C117" s="44" t="s">
        <v>327</v>
      </c>
      <c r="D117" s="45" t="s">
        <v>614</v>
      </c>
      <c r="E117" s="377">
        <f>E116*E77</f>
        <v>9.6326530612244914E-10</v>
      </c>
      <c r="F117" s="46"/>
      <c r="G117" s="47"/>
      <c r="H117" s="382" t="s">
        <v>42</v>
      </c>
      <c r="I117" s="48" t="s">
        <v>707</v>
      </c>
      <c r="J117" s="486" t="s">
        <v>817</v>
      </c>
      <c r="K117" s="504"/>
      <c r="L117" s="504"/>
      <c r="M117" s="504"/>
      <c r="N117" s="504"/>
      <c r="O117" s="504"/>
      <c r="P117" s="505"/>
      <c r="Q117" s="2"/>
      <c r="R117" s="2"/>
      <c r="S117" s="2"/>
      <c r="T117" s="2"/>
      <c r="U117" s="2"/>
      <c r="V117" s="2"/>
      <c r="W117" s="2"/>
      <c r="X117" s="2"/>
      <c r="Y117" s="2"/>
    </row>
    <row r="118" spans="1:25" x14ac:dyDescent="0.25">
      <c r="A118" s="2"/>
      <c r="B118" s="18">
        <f t="shared" si="3"/>
        <v>10</v>
      </c>
      <c r="C118" s="44" t="s">
        <v>533</v>
      </c>
      <c r="D118" s="45"/>
      <c r="E118" s="377">
        <f>'Vacuum Sintering'!B34</f>
        <v>6.4199999999999997E-12</v>
      </c>
      <c r="F118" s="46"/>
      <c r="G118" s="47"/>
      <c r="H118" s="382" t="s">
        <v>509</v>
      </c>
      <c r="I118" s="48">
        <v>8</v>
      </c>
      <c r="J118" s="486" t="s">
        <v>818</v>
      </c>
      <c r="K118" s="504"/>
      <c r="L118" s="504"/>
      <c r="M118" s="504"/>
      <c r="N118" s="504"/>
      <c r="O118" s="504"/>
      <c r="P118" s="505"/>
      <c r="Q118" s="2"/>
      <c r="R118" s="2"/>
      <c r="S118" s="2"/>
      <c r="T118" s="2"/>
      <c r="U118" s="2"/>
      <c r="V118" s="2"/>
      <c r="W118" s="2"/>
      <c r="X118" s="2"/>
      <c r="Y118" s="2"/>
    </row>
    <row r="119" spans="1:25" x14ac:dyDescent="0.25">
      <c r="A119" s="2"/>
      <c r="B119" s="18">
        <f t="shared" si="3"/>
        <v>3</v>
      </c>
      <c r="C119" s="44" t="s">
        <v>328</v>
      </c>
      <c r="D119" s="45" t="s">
        <v>615</v>
      </c>
      <c r="E119" s="377">
        <f>E118*E77</f>
        <v>1.310204081632653E-11</v>
      </c>
      <c r="F119" s="46"/>
      <c r="G119" s="47"/>
      <c r="H119" s="382" t="s">
        <v>42</v>
      </c>
      <c r="I119" s="48" t="s">
        <v>707</v>
      </c>
      <c r="J119" s="486" t="s">
        <v>819</v>
      </c>
      <c r="K119" s="504"/>
      <c r="L119" s="504"/>
      <c r="M119" s="504"/>
      <c r="N119" s="504"/>
      <c r="O119" s="504"/>
      <c r="P119" s="505"/>
      <c r="Q119" s="2"/>
      <c r="R119" s="2"/>
      <c r="S119" s="2"/>
      <c r="T119" s="2"/>
      <c r="U119" s="2"/>
      <c r="V119" s="2"/>
      <c r="W119" s="2"/>
      <c r="X119" s="2"/>
      <c r="Y119" s="2"/>
    </row>
    <row r="120" spans="1:25" x14ac:dyDescent="0.25">
      <c r="A120" s="2"/>
      <c r="B120" s="18">
        <f t="shared" si="3"/>
        <v>13</v>
      </c>
      <c r="C120" s="44" t="s">
        <v>534</v>
      </c>
      <c r="D120" s="45"/>
      <c r="E120" s="377">
        <f>'Vacuum Sintering'!B35</f>
        <v>7.0000000000000001E-12</v>
      </c>
      <c r="F120" s="46"/>
      <c r="G120" s="47"/>
      <c r="H120" s="382" t="s">
        <v>509</v>
      </c>
      <c r="I120" s="48">
        <v>8</v>
      </c>
      <c r="J120" s="486" t="s">
        <v>820</v>
      </c>
      <c r="K120" s="504"/>
      <c r="L120" s="504"/>
      <c r="M120" s="504"/>
      <c r="N120" s="504"/>
      <c r="O120" s="504"/>
      <c r="P120" s="505"/>
      <c r="Q120" s="2"/>
      <c r="R120" s="2"/>
      <c r="S120" s="2"/>
      <c r="T120" s="2"/>
      <c r="U120" s="2"/>
      <c r="V120" s="2"/>
      <c r="W120" s="2"/>
      <c r="X120" s="2"/>
      <c r="Y120" s="2"/>
    </row>
    <row r="121" spans="1:25" x14ac:dyDescent="0.25">
      <c r="A121" s="2"/>
      <c r="B121" s="18">
        <f t="shared" si="3"/>
        <v>6</v>
      </c>
      <c r="C121" s="44" t="s">
        <v>427</v>
      </c>
      <c r="D121" s="45" t="s">
        <v>616</v>
      </c>
      <c r="E121" s="377">
        <f>E120*E77</f>
        <v>1.4285714285714286E-11</v>
      </c>
      <c r="F121" s="46"/>
      <c r="G121" s="47"/>
      <c r="H121" s="382" t="s">
        <v>42</v>
      </c>
      <c r="I121" s="48" t="s">
        <v>707</v>
      </c>
      <c r="J121" s="486" t="s">
        <v>821</v>
      </c>
      <c r="K121" s="504"/>
      <c r="L121" s="504"/>
      <c r="M121" s="504"/>
      <c r="N121" s="504"/>
      <c r="O121" s="504"/>
      <c r="P121" s="505"/>
      <c r="Q121" s="2"/>
      <c r="R121" s="2"/>
      <c r="S121" s="2"/>
      <c r="T121" s="2"/>
      <c r="U121" s="2"/>
      <c r="V121" s="2"/>
      <c r="W121" s="2"/>
      <c r="X121" s="2"/>
      <c r="Y121" s="2"/>
    </row>
    <row r="122" spans="1:25" x14ac:dyDescent="0.25">
      <c r="A122" s="2"/>
      <c r="B122" s="18">
        <f t="shared" si="3"/>
        <v>13</v>
      </c>
      <c r="C122" s="44" t="s">
        <v>428</v>
      </c>
      <c r="D122" s="45"/>
      <c r="E122" s="377">
        <f>'Grinding and Slicing'!B32</f>
        <v>0.3</v>
      </c>
      <c r="F122" s="377">
        <f>'Grinding and Slicing'!C32</f>
        <v>0</v>
      </c>
      <c r="G122" s="377">
        <f>'Grinding and Slicing'!D32</f>
        <v>0.4</v>
      </c>
      <c r="H122" s="382" t="str">
        <f>'Grinding and Slicing'!E32</f>
        <v>%</v>
      </c>
      <c r="I122" s="48" t="s">
        <v>680</v>
      </c>
      <c r="J122" s="486" t="s">
        <v>822</v>
      </c>
      <c r="K122" s="504"/>
      <c r="L122" s="504"/>
      <c r="M122" s="504"/>
      <c r="N122" s="504"/>
      <c r="O122" s="504"/>
      <c r="P122" s="505"/>
      <c r="Q122" s="2"/>
      <c r="R122" s="2"/>
      <c r="S122" s="2"/>
      <c r="T122" s="2"/>
      <c r="U122" s="2"/>
      <c r="V122" s="2"/>
      <c r="W122" s="2"/>
      <c r="X122" s="2"/>
      <c r="Y122" s="2"/>
    </row>
    <row r="123" spans="1:25" x14ac:dyDescent="0.25">
      <c r="A123" s="2"/>
      <c r="B123" s="18">
        <f t="shared" si="3"/>
        <v>13</v>
      </c>
      <c r="C123" s="44" t="s">
        <v>537</v>
      </c>
      <c r="D123" s="45"/>
      <c r="E123" s="377">
        <f>'Grinding and Slicing'!B33</f>
        <v>0.5</v>
      </c>
      <c r="F123" s="377">
        <f>'Grinding and Slicing'!C33</f>
        <v>0</v>
      </c>
      <c r="G123" s="377">
        <f>'Grinding and Slicing'!D33</f>
        <v>1</v>
      </c>
      <c r="H123" s="382" t="str">
        <f>'Grinding and Slicing'!E33</f>
        <v>%</v>
      </c>
      <c r="I123" s="48" t="s">
        <v>680</v>
      </c>
      <c r="J123" s="486" t="s">
        <v>823</v>
      </c>
      <c r="K123" s="504"/>
      <c r="L123" s="504"/>
      <c r="M123" s="504"/>
      <c r="N123" s="504"/>
      <c r="O123" s="504"/>
      <c r="P123" s="505"/>
      <c r="Q123" s="2"/>
      <c r="R123" s="2"/>
      <c r="S123" s="2"/>
      <c r="T123" s="2"/>
      <c r="U123" s="2"/>
      <c r="V123" s="2"/>
      <c r="W123" s="2"/>
      <c r="X123" s="2"/>
      <c r="Y123" s="2"/>
    </row>
    <row r="124" spans="1:25" x14ac:dyDescent="0.25">
      <c r="A124" s="2"/>
      <c r="B124" s="18">
        <f t="shared" si="3"/>
        <v>15</v>
      </c>
      <c r="C124" s="44" t="s">
        <v>431</v>
      </c>
      <c r="D124" s="45" t="s">
        <v>617</v>
      </c>
      <c r="E124" s="377">
        <f>1-(1*E122)</f>
        <v>0.7</v>
      </c>
      <c r="F124" s="46"/>
      <c r="G124" s="47"/>
      <c r="H124" s="382" t="str">
        <f>'Grinding and Slicing'!E34</f>
        <v>unitless</v>
      </c>
      <c r="I124" s="48" t="s">
        <v>680</v>
      </c>
      <c r="J124" s="486" t="s">
        <v>824</v>
      </c>
      <c r="K124" s="504"/>
      <c r="L124" s="504"/>
      <c r="M124" s="504"/>
      <c r="N124" s="504"/>
      <c r="O124" s="504"/>
      <c r="P124" s="505"/>
      <c r="Q124" s="2"/>
      <c r="R124" s="2"/>
      <c r="S124" s="2"/>
      <c r="T124" s="2"/>
      <c r="U124" s="2"/>
      <c r="V124" s="2"/>
      <c r="W124" s="2"/>
      <c r="X124" s="2"/>
      <c r="Y124" s="2"/>
    </row>
    <row r="125" spans="1:25" x14ac:dyDescent="0.25">
      <c r="A125" s="2"/>
      <c r="B125" s="18">
        <f t="shared" si="3"/>
        <v>15</v>
      </c>
      <c r="C125" s="44" t="s">
        <v>535</v>
      </c>
      <c r="D125" s="45"/>
      <c r="E125" s="377">
        <f>'Grinding and Slicing'!B36</f>
        <v>2</v>
      </c>
      <c r="F125" s="46"/>
      <c r="G125" s="47"/>
      <c r="H125" s="382" t="str">
        <f>'Grinding and Slicing'!E36</f>
        <v>kWh/kg NdFeB, magnet</v>
      </c>
      <c r="I125" s="48" t="s">
        <v>680</v>
      </c>
      <c r="J125" s="486" t="s">
        <v>825</v>
      </c>
      <c r="K125" s="504"/>
      <c r="L125" s="504"/>
      <c r="M125" s="504"/>
      <c r="N125" s="504"/>
      <c r="O125" s="504"/>
      <c r="P125" s="505"/>
      <c r="Q125" s="2"/>
      <c r="R125" s="2"/>
      <c r="S125" s="2"/>
      <c r="T125" s="2"/>
      <c r="U125" s="2"/>
      <c r="V125" s="2"/>
      <c r="W125" s="2"/>
      <c r="X125" s="2"/>
      <c r="Y125" s="2"/>
    </row>
    <row r="126" spans="1:25" x14ac:dyDescent="0.25">
      <c r="A126" s="2"/>
      <c r="B126" s="18">
        <f t="shared" si="3"/>
        <v>8</v>
      </c>
      <c r="C126" s="44" t="s">
        <v>432</v>
      </c>
      <c r="D126" s="45" t="s">
        <v>642</v>
      </c>
      <c r="E126" s="377">
        <f>E125*E127</f>
        <v>2.8571428571428572</v>
      </c>
      <c r="F126" s="46"/>
      <c r="G126" s="47"/>
      <c r="H126" s="382" t="str">
        <f>'Grinding and Slicing'!E37</f>
        <v>kWh</v>
      </c>
      <c r="I126" s="48" t="s">
        <v>680</v>
      </c>
      <c r="J126" s="486" t="s">
        <v>826</v>
      </c>
      <c r="K126" s="504"/>
      <c r="L126" s="504"/>
      <c r="M126" s="504"/>
      <c r="N126" s="504"/>
      <c r="O126" s="504"/>
      <c r="P126" s="505"/>
      <c r="Q126" s="2"/>
      <c r="R126" s="2"/>
      <c r="S126" s="2"/>
      <c r="T126" s="2"/>
      <c r="U126" s="2"/>
      <c r="V126" s="2"/>
      <c r="W126" s="2"/>
      <c r="X126" s="2"/>
      <c r="Y126" s="2"/>
    </row>
    <row r="127" spans="1:25" x14ac:dyDescent="0.25">
      <c r="A127" s="2"/>
      <c r="B127" s="18">
        <f t="shared" si="3"/>
        <v>12</v>
      </c>
      <c r="C127" s="44" t="s">
        <v>538</v>
      </c>
      <c r="D127" s="45" t="s">
        <v>618</v>
      </c>
      <c r="E127" s="377">
        <f>1/E130</f>
        <v>1.4285714285714286</v>
      </c>
      <c r="F127" s="46"/>
      <c r="G127" s="47"/>
      <c r="H127" s="382" t="str">
        <f>'Grinding and Slicing'!E39</f>
        <v>kg</v>
      </c>
      <c r="I127" s="48" t="s">
        <v>680</v>
      </c>
      <c r="J127" s="486" t="s">
        <v>827</v>
      </c>
      <c r="K127" s="504"/>
      <c r="L127" s="504"/>
      <c r="M127" s="504"/>
      <c r="N127" s="504"/>
      <c r="O127" s="504"/>
      <c r="P127" s="505"/>
      <c r="Q127" s="2"/>
      <c r="R127" s="2"/>
      <c r="S127" s="2"/>
      <c r="T127" s="2"/>
      <c r="U127" s="2"/>
      <c r="V127" s="2"/>
      <c r="W127" s="2"/>
      <c r="X127" s="2"/>
      <c r="Y127" s="2"/>
    </row>
    <row r="128" spans="1:25" x14ac:dyDescent="0.25">
      <c r="A128" s="2"/>
      <c r="B128" s="18">
        <f t="shared" si="3"/>
        <v>11</v>
      </c>
      <c r="C128" s="44" t="s">
        <v>536</v>
      </c>
      <c r="D128" s="45" t="s">
        <v>643</v>
      </c>
      <c r="E128" s="377">
        <f>E77*E122*E123</f>
        <v>0.30612244897959184</v>
      </c>
      <c r="F128" s="46"/>
      <c r="G128" s="47"/>
      <c r="H128" s="382" t="str">
        <f>'Grinding and Slicing'!E40</f>
        <v>kg</v>
      </c>
      <c r="I128" s="48" t="s">
        <v>680</v>
      </c>
      <c r="J128" s="486" t="s">
        <v>828</v>
      </c>
      <c r="K128" s="504"/>
      <c r="L128" s="504"/>
      <c r="M128" s="504"/>
      <c r="N128" s="504"/>
      <c r="O128" s="504"/>
      <c r="P128" s="505"/>
      <c r="Q128" s="2"/>
      <c r="R128" s="2"/>
      <c r="S128" s="2"/>
      <c r="T128" s="2"/>
      <c r="U128" s="2"/>
      <c r="V128" s="2"/>
      <c r="W128" s="2"/>
      <c r="X128" s="2"/>
      <c r="Y128" s="2"/>
    </row>
    <row r="129" spans="1:25" x14ac:dyDescent="0.25">
      <c r="A129" s="2"/>
      <c r="B129" s="18">
        <f t="shared" si="3"/>
        <v>14</v>
      </c>
      <c r="C129" s="44" t="s">
        <v>435</v>
      </c>
      <c r="D129" s="45"/>
      <c r="E129" s="377">
        <f>Electroplating!H7</f>
        <v>0.3</v>
      </c>
      <c r="F129" s="377">
        <f>Electroplating!I7</f>
        <v>0.17499999999999999</v>
      </c>
      <c r="G129" s="377">
        <f>Electroplating!J7</f>
        <v>0.4</v>
      </c>
      <c r="H129" s="382" t="str">
        <f>Electroplating!K7</f>
        <v>%</v>
      </c>
      <c r="I129" s="48" t="s">
        <v>680</v>
      </c>
      <c r="J129" s="486" t="s">
        <v>829</v>
      </c>
      <c r="K129" s="504"/>
      <c r="L129" s="504"/>
      <c r="M129" s="504"/>
      <c r="N129" s="504"/>
      <c r="O129" s="504"/>
      <c r="P129" s="505"/>
      <c r="Q129" s="2"/>
      <c r="R129" s="2"/>
      <c r="S129" s="2"/>
      <c r="T129" s="2"/>
      <c r="U129" s="2"/>
      <c r="V129" s="2"/>
      <c r="W129" s="2"/>
      <c r="X129" s="2"/>
      <c r="Y129" s="2"/>
    </row>
    <row r="130" spans="1:25" x14ac:dyDescent="0.25">
      <c r="A130" s="2"/>
      <c r="B130" s="18">
        <f t="shared" si="3"/>
        <v>14</v>
      </c>
      <c r="C130" s="44" t="s">
        <v>539</v>
      </c>
      <c r="D130" s="45" t="s">
        <v>619</v>
      </c>
      <c r="E130" s="377">
        <f>1-(1*E129)</f>
        <v>0.7</v>
      </c>
      <c r="F130" s="46"/>
      <c r="G130" s="47"/>
      <c r="H130" s="382" t="s">
        <v>381</v>
      </c>
      <c r="I130" s="48" t="s">
        <v>680</v>
      </c>
      <c r="J130" s="486" t="s">
        <v>830</v>
      </c>
      <c r="K130" s="504"/>
      <c r="L130" s="504"/>
      <c r="M130" s="504"/>
      <c r="N130" s="504"/>
      <c r="O130" s="504"/>
      <c r="P130" s="505"/>
      <c r="Q130" s="2"/>
      <c r="R130" s="2"/>
      <c r="S130" s="2"/>
      <c r="T130" s="2"/>
      <c r="U130" s="2"/>
      <c r="V130" s="2"/>
      <c r="W130" s="2"/>
      <c r="X130" s="2"/>
      <c r="Y130" s="2"/>
    </row>
    <row r="131" spans="1:25" x14ac:dyDescent="0.25">
      <c r="A131" s="2"/>
      <c r="B131" s="18">
        <f t="shared" si="3"/>
        <v>13</v>
      </c>
      <c r="C131" s="44" t="s">
        <v>540</v>
      </c>
      <c r="D131" s="45"/>
      <c r="E131" s="377">
        <f>Electroplating!B9</f>
        <v>6.8000000000000013E-5</v>
      </c>
      <c r="F131" s="46"/>
      <c r="G131" s="47"/>
      <c r="H131" s="382" t="s">
        <v>566</v>
      </c>
      <c r="I131" s="48">
        <v>9</v>
      </c>
      <c r="J131" s="486" t="s">
        <v>832</v>
      </c>
      <c r="K131" s="504"/>
      <c r="L131" s="504"/>
      <c r="M131" s="504"/>
      <c r="N131" s="504"/>
      <c r="O131" s="504"/>
      <c r="P131" s="505"/>
      <c r="Q131" s="2"/>
      <c r="R131" s="2"/>
      <c r="S131" s="2"/>
      <c r="T131" s="2"/>
      <c r="U131" s="2"/>
      <c r="V131" s="2"/>
      <c r="W131" s="2"/>
      <c r="X131" s="2"/>
      <c r="Y131" s="2"/>
    </row>
    <row r="132" spans="1:25" x14ac:dyDescent="0.25">
      <c r="A132" s="2"/>
      <c r="B132" s="18">
        <f t="shared" si="3"/>
        <v>6</v>
      </c>
      <c r="C132" s="44" t="s">
        <v>442</v>
      </c>
      <c r="D132" s="45" t="s">
        <v>620</v>
      </c>
      <c r="E132" s="377">
        <f>E131/E130</f>
        <v>9.7142857142857165E-5</v>
      </c>
      <c r="F132" s="46"/>
      <c r="G132" s="47"/>
      <c r="H132" s="382" t="s">
        <v>42</v>
      </c>
      <c r="I132" s="48" t="s">
        <v>715</v>
      </c>
      <c r="J132" s="486" t="s">
        <v>831</v>
      </c>
      <c r="K132" s="504"/>
      <c r="L132" s="504"/>
      <c r="M132" s="504"/>
      <c r="N132" s="504"/>
      <c r="O132" s="504"/>
      <c r="P132" s="505"/>
      <c r="Q132" s="2"/>
      <c r="R132" s="2"/>
      <c r="S132" s="2"/>
      <c r="T132" s="2"/>
      <c r="U132" s="2"/>
      <c r="V132" s="2"/>
      <c r="W132" s="2"/>
      <c r="X132" s="2"/>
      <c r="Y132" s="2"/>
    </row>
    <row r="133" spans="1:25" x14ac:dyDescent="0.25">
      <c r="A133" s="2"/>
      <c r="B133" s="18">
        <f t="shared" si="3"/>
        <v>13</v>
      </c>
      <c r="C133" s="44" t="s">
        <v>541</v>
      </c>
      <c r="D133" s="45"/>
      <c r="E133" s="377">
        <f>Electroplating!B10</f>
        <v>1.3600000000000003E-4</v>
      </c>
      <c r="F133" s="46"/>
      <c r="G133" s="47"/>
      <c r="H133" s="382" t="s">
        <v>566</v>
      </c>
      <c r="I133" s="48">
        <v>9</v>
      </c>
      <c r="J133" s="486" t="s">
        <v>833</v>
      </c>
      <c r="K133" s="504"/>
      <c r="L133" s="504"/>
      <c r="M133" s="504"/>
      <c r="N133" s="504"/>
      <c r="O133" s="504"/>
      <c r="P133" s="505"/>
      <c r="Q133" s="2"/>
      <c r="R133" s="2"/>
      <c r="S133" s="2"/>
      <c r="T133" s="2"/>
      <c r="U133" s="2"/>
      <c r="V133" s="2"/>
      <c r="W133" s="2"/>
      <c r="X133" s="2"/>
      <c r="Y133" s="2"/>
    </row>
    <row r="134" spans="1:25" x14ac:dyDescent="0.25">
      <c r="A134" s="2"/>
      <c r="B134" s="18">
        <f t="shared" si="3"/>
        <v>6</v>
      </c>
      <c r="C134" s="44" t="s">
        <v>441</v>
      </c>
      <c r="D134" s="45" t="s">
        <v>621</v>
      </c>
      <c r="E134" s="377">
        <f>E133/E130</f>
        <v>1.9428571428571433E-4</v>
      </c>
      <c r="F134" s="46"/>
      <c r="G134" s="47"/>
      <c r="H134" s="382" t="s">
        <v>42</v>
      </c>
      <c r="I134" s="48" t="s">
        <v>715</v>
      </c>
      <c r="J134" s="486" t="s">
        <v>834</v>
      </c>
      <c r="K134" s="504"/>
      <c r="L134" s="504"/>
      <c r="M134" s="504"/>
      <c r="N134" s="504"/>
      <c r="O134" s="504"/>
      <c r="P134" s="505"/>
      <c r="Q134" s="2"/>
      <c r="R134" s="2"/>
      <c r="S134" s="2"/>
      <c r="T134" s="2"/>
      <c r="U134" s="2"/>
      <c r="V134" s="2"/>
      <c r="W134" s="2"/>
      <c r="X134" s="2"/>
      <c r="Y134" s="2"/>
    </row>
    <row r="135" spans="1:25" x14ac:dyDescent="0.25">
      <c r="A135" s="2"/>
      <c r="B135" s="18">
        <f t="shared" si="3"/>
        <v>15</v>
      </c>
      <c r="C135" s="44" t="s">
        <v>542</v>
      </c>
      <c r="D135" s="45"/>
      <c r="E135" s="377">
        <f>Electroplating!B11</f>
        <v>1.6320000000000001E-4</v>
      </c>
      <c r="F135" s="46"/>
      <c r="G135" s="47"/>
      <c r="H135" s="382" t="s">
        <v>566</v>
      </c>
      <c r="I135" s="48">
        <v>9</v>
      </c>
      <c r="J135" s="486" t="s">
        <v>835</v>
      </c>
      <c r="K135" s="504"/>
      <c r="L135" s="504"/>
      <c r="M135" s="504"/>
      <c r="N135" s="504"/>
      <c r="O135" s="504"/>
      <c r="P135" s="505"/>
      <c r="Q135" s="2"/>
      <c r="R135" s="2"/>
      <c r="S135" s="2"/>
      <c r="T135" s="2"/>
      <c r="U135" s="2"/>
      <c r="V135" s="2"/>
      <c r="W135" s="2"/>
      <c r="X135" s="2"/>
      <c r="Y135" s="2"/>
    </row>
    <row r="136" spans="1:25" x14ac:dyDescent="0.25">
      <c r="A136" s="2"/>
      <c r="B136" s="18">
        <f t="shared" si="3"/>
        <v>8</v>
      </c>
      <c r="C136" s="44" t="s">
        <v>543</v>
      </c>
      <c r="D136" s="45" t="s">
        <v>622</v>
      </c>
      <c r="E136" s="377">
        <f>E135/E130</f>
        <v>2.3314285714285716E-4</v>
      </c>
      <c r="F136" s="46"/>
      <c r="G136" s="47"/>
      <c r="H136" s="382" t="s">
        <v>42</v>
      </c>
      <c r="I136" s="48" t="s">
        <v>715</v>
      </c>
      <c r="J136" s="486" t="s">
        <v>836</v>
      </c>
      <c r="K136" s="504"/>
      <c r="L136" s="504"/>
      <c r="M136" s="504"/>
      <c r="N136" s="504"/>
      <c r="O136" s="504"/>
      <c r="P136" s="505"/>
      <c r="Q136" s="2"/>
      <c r="R136" s="2"/>
      <c r="S136" s="2"/>
      <c r="T136" s="2"/>
      <c r="U136" s="2"/>
      <c r="V136" s="2"/>
      <c r="W136" s="2"/>
      <c r="X136" s="2"/>
      <c r="Y136" s="2"/>
    </row>
    <row r="137" spans="1:25" x14ac:dyDescent="0.25">
      <c r="A137" s="2"/>
      <c r="B137" s="18">
        <f t="shared" si="3"/>
        <v>11</v>
      </c>
      <c r="C137" s="44" t="s">
        <v>544</v>
      </c>
      <c r="D137" s="45"/>
      <c r="E137" s="377">
        <f>Electroplating!B12</f>
        <v>3.4000000000000002E-4</v>
      </c>
      <c r="F137" s="46"/>
      <c r="G137" s="47"/>
      <c r="H137" s="382" t="s">
        <v>566</v>
      </c>
      <c r="I137" s="48">
        <v>9</v>
      </c>
      <c r="J137" s="486" t="s">
        <v>837</v>
      </c>
      <c r="K137" s="504"/>
      <c r="L137" s="504"/>
      <c r="M137" s="504"/>
      <c r="N137" s="504"/>
      <c r="O137" s="504"/>
      <c r="P137" s="505"/>
      <c r="Q137" s="2"/>
      <c r="R137" s="2"/>
      <c r="S137" s="2"/>
      <c r="T137" s="2"/>
      <c r="U137" s="2"/>
      <c r="V137" s="2"/>
      <c r="W137" s="2"/>
      <c r="X137" s="2"/>
      <c r="Y137" s="2"/>
    </row>
    <row r="138" spans="1:25" x14ac:dyDescent="0.25">
      <c r="A138" s="2"/>
      <c r="B138" s="18">
        <f t="shared" si="3"/>
        <v>4</v>
      </c>
      <c r="C138" s="44" t="s">
        <v>437</v>
      </c>
      <c r="D138" s="45" t="s">
        <v>623</v>
      </c>
      <c r="E138" s="377">
        <f>E137/E130</f>
        <v>4.8571428571428577E-4</v>
      </c>
      <c r="F138" s="46"/>
      <c r="G138" s="47"/>
      <c r="H138" s="382" t="s">
        <v>42</v>
      </c>
      <c r="I138" s="48" t="s">
        <v>715</v>
      </c>
      <c r="J138" s="486" t="s">
        <v>838</v>
      </c>
      <c r="K138" s="504"/>
      <c r="L138" s="504"/>
      <c r="M138" s="504"/>
      <c r="N138" s="504"/>
      <c r="O138" s="504"/>
      <c r="P138" s="505"/>
      <c r="Q138" s="2"/>
      <c r="R138" s="2"/>
      <c r="S138" s="2"/>
      <c r="T138" s="2"/>
      <c r="U138" s="2"/>
      <c r="V138" s="2"/>
      <c r="W138" s="2"/>
      <c r="X138" s="2"/>
      <c r="Y138" s="2"/>
    </row>
    <row r="139" spans="1:25" x14ac:dyDescent="0.25">
      <c r="A139" s="2"/>
      <c r="B139" s="18">
        <f t="shared" si="3"/>
        <v>12</v>
      </c>
      <c r="C139" s="44" t="s">
        <v>545</v>
      </c>
      <c r="D139" s="45"/>
      <c r="E139" s="377">
        <f>Electroplating!B13</f>
        <v>1.2512000000000001E-3</v>
      </c>
      <c r="F139" s="46"/>
      <c r="G139" s="47"/>
      <c r="H139" s="382" t="s">
        <v>566</v>
      </c>
      <c r="I139" s="48">
        <v>9</v>
      </c>
      <c r="J139" s="486" t="s">
        <v>839</v>
      </c>
      <c r="K139" s="504"/>
      <c r="L139" s="504"/>
      <c r="M139" s="504"/>
      <c r="N139" s="504"/>
      <c r="O139" s="504"/>
      <c r="P139" s="505"/>
      <c r="Q139" s="2"/>
      <c r="R139" s="2"/>
      <c r="S139" s="2"/>
      <c r="T139" s="2"/>
      <c r="U139" s="2"/>
      <c r="V139" s="2"/>
      <c r="W139" s="2"/>
      <c r="X139" s="2"/>
      <c r="Y139" s="2"/>
    </row>
    <row r="140" spans="1:25" x14ac:dyDescent="0.25">
      <c r="A140" s="2"/>
      <c r="B140" s="18">
        <f t="shared" si="3"/>
        <v>5</v>
      </c>
      <c r="C140" s="44" t="s">
        <v>439</v>
      </c>
      <c r="D140" s="45" t="s">
        <v>624</v>
      </c>
      <c r="E140" s="377">
        <f>E139/E130</f>
        <v>1.7874285714285715E-3</v>
      </c>
      <c r="F140" s="46"/>
      <c r="G140" s="47"/>
      <c r="H140" s="382" t="s">
        <v>42</v>
      </c>
      <c r="I140" s="48" t="s">
        <v>715</v>
      </c>
      <c r="J140" s="486" t="s">
        <v>840</v>
      </c>
      <c r="K140" s="504"/>
      <c r="L140" s="504"/>
      <c r="M140" s="504"/>
      <c r="N140" s="504"/>
      <c r="O140" s="504"/>
      <c r="P140" s="505"/>
      <c r="Q140" s="2"/>
      <c r="R140" s="2"/>
      <c r="S140" s="2"/>
      <c r="T140" s="2"/>
      <c r="U140" s="2"/>
      <c r="V140" s="2"/>
      <c r="W140" s="2"/>
      <c r="X140" s="2"/>
      <c r="Y140" s="2"/>
    </row>
    <row r="141" spans="1:25" x14ac:dyDescent="0.25">
      <c r="A141" s="2"/>
      <c r="B141" s="18">
        <f t="shared" si="3"/>
        <v>15</v>
      </c>
      <c r="C141" s="44" t="s">
        <v>546</v>
      </c>
      <c r="D141" s="45"/>
      <c r="E141" s="377">
        <f>Electroplating!B14</f>
        <v>1.0880000000000001</v>
      </c>
      <c r="F141" s="46"/>
      <c r="G141" s="383">
        <f>Electroplating!D14</f>
        <v>1.7680000000000002</v>
      </c>
      <c r="H141" s="382" t="s">
        <v>566</v>
      </c>
      <c r="I141" s="48">
        <v>9</v>
      </c>
      <c r="J141" s="486" t="s">
        <v>841</v>
      </c>
      <c r="K141" s="504"/>
      <c r="L141" s="504"/>
      <c r="M141" s="504"/>
      <c r="N141" s="504"/>
      <c r="O141" s="504"/>
      <c r="P141" s="505"/>
      <c r="Q141" s="2"/>
      <c r="R141" s="2"/>
      <c r="S141" s="2"/>
      <c r="T141" s="2"/>
      <c r="U141" s="2"/>
      <c r="V141" s="2"/>
      <c r="W141" s="2"/>
      <c r="X141" s="2"/>
      <c r="Y141" s="2"/>
    </row>
    <row r="142" spans="1:25" x14ac:dyDescent="0.25">
      <c r="A142" s="2"/>
      <c r="B142" s="18">
        <f t="shared" si="3"/>
        <v>8</v>
      </c>
      <c r="C142" s="44" t="s">
        <v>547</v>
      </c>
      <c r="D142" s="45" t="s">
        <v>625</v>
      </c>
      <c r="E142" s="377">
        <f>E141/E130</f>
        <v>1.5542857142857145</v>
      </c>
      <c r="F142" s="46"/>
      <c r="G142" s="383"/>
      <c r="H142" s="382" t="s">
        <v>42</v>
      </c>
      <c r="I142" s="48" t="s">
        <v>715</v>
      </c>
      <c r="J142" s="486" t="s">
        <v>842</v>
      </c>
      <c r="K142" s="504"/>
      <c r="L142" s="504"/>
      <c r="M142" s="504"/>
      <c r="N142" s="504"/>
      <c r="O142" s="504"/>
      <c r="P142" s="505"/>
      <c r="Q142" s="2"/>
      <c r="R142" s="2"/>
      <c r="S142" s="2"/>
      <c r="T142" s="2"/>
      <c r="U142" s="2"/>
      <c r="V142" s="2"/>
      <c r="W142" s="2"/>
      <c r="X142" s="2"/>
      <c r="Y142" s="2"/>
    </row>
    <row r="143" spans="1:25" x14ac:dyDescent="0.25">
      <c r="A143" s="2"/>
      <c r="B143" s="18">
        <f t="shared" si="3"/>
        <v>15</v>
      </c>
      <c r="C143" s="44" t="s">
        <v>548</v>
      </c>
      <c r="D143" s="45"/>
      <c r="E143" s="377">
        <f>Electroplating!B15</f>
        <v>0.46498400000000006</v>
      </c>
      <c r="F143" s="46"/>
      <c r="G143" s="383">
        <f>Electroplating!D15</f>
        <v>0.62090800000000002</v>
      </c>
      <c r="H143" s="382" t="s">
        <v>567</v>
      </c>
      <c r="I143" s="48">
        <v>9</v>
      </c>
      <c r="J143" s="486" t="s">
        <v>843</v>
      </c>
      <c r="K143" s="504"/>
      <c r="L143" s="504"/>
      <c r="M143" s="504"/>
      <c r="N143" s="504"/>
      <c r="O143" s="504"/>
      <c r="P143" s="505"/>
      <c r="Q143" s="2"/>
      <c r="R143" s="2"/>
      <c r="S143" s="2"/>
      <c r="T143" s="2"/>
      <c r="U143" s="2"/>
      <c r="V143" s="2"/>
      <c r="W143" s="2"/>
      <c r="X143" s="2"/>
      <c r="Y143" s="2"/>
    </row>
    <row r="144" spans="1:25" x14ac:dyDescent="0.25">
      <c r="A144" s="2"/>
      <c r="B144" s="18">
        <f t="shared" si="3"/>
        <v>10</v>
      </c>
      <c r="C144" s="44" t="s">
        <v>549</v>
      </c>
      <c r="D144" s="45" t="s">
        <v>626</v>
      </c>
      <c r="E144" s="377">
        <f>E143/E130</f>
        <v>0.66426285714285727</v>
      </c>
      <c r="F144" s="46"/>
      <c r="G144" s="383"/>
      <c r="H144" s="382" t="s">
        <v>299</v>
      </c>
      <c r="I144" s="48" t="s">
        <v>715</v>
      </c>
      <c r="J144" s="486" t="s">
        <v>844</v>
      </c>
      <c r="K144" s="504"/>
      <c r="L144" s="504"/>
      <c r="M144" s="504"/>
      <c r="N144" s="504"/>
      <c r="O144" s="504"/>
      <c r="P144" s="505"/>
      <c r="Q144" s="2"/>
      <c r="R144" s="2"/>
      <c r="S144" s="2"/>
      <c r="T144" s="2"/>
      <c r="U144" s="2"/>
      <c r="V144" s="2"/>
      <c r="W144" s="2"/>
      <c r="X144" s="2"/>
      <c r="Y144" s="2"/>
    </row>
    <row r="145" spans="1:25" x14ac:dyDescent="0.25">
      <c r="A145" s="2"/>
      <c r="B145" s="18">
        <f t="shared" si="3"/>
        <v>11</v>
      </c>
      <c r="C145" s="44" t="s">
        <v>550</v>
      </c>
      <c r="D145" s="45"/>
      <c r="E145" s="377">
        <f>Electroplating!B16</f>
        <v>9.5540000000000014E-2</v>
      </c>
      <c r="F145" s="46"/>
      <c r="G145" s="383">
        <f>Electroplating!D16</f>
        <v>0.11798000000000002</v>
      </c>
      <c r="H145" s="382" t="s">
        <v>566</v>
      </c>
      <c r="I145" s="48">
        <v>9</v>
      </c>
      <c r="J145" s="486" t="s">
        <v>845</v>
      </c>
      <c r="K145" s="504"/>
      <c r="L145" s="504"/>
      <c r="M145" s="504"/>
      <c r="N145" s="504"/>
      <c r="O145" s="504"/>
      <c r="P145" s="505"/>
      <c r="Q145" s="2"/>
      <c r="R145" s="2"/>
      <c r="S145" s="2"/>
      <c r="T145" s="2"/>
      <c r="U145" s="2"/>
      <c r="V145" s="2"/>
      <c r="W145" s="2"/>
      <c r="X145" s="2"/>
      <c r="Y145" s="2"/>
    </row>
    <row r="146" spans="1:25" x14ac:dyDescent="0.25">
      <c r="A146" s="2"/>
      <c r="B146" s="18">
        <f t="shared" si="3"/>
        <v>5</v>
      </c>
      <c r="C146" s="44" t="s">
        <v>561</v>
      </c>
      <c r="D146" s="45" t="s">
        <v>627</v>
      </c>
      <c r="E146" s="377">
        <f>E145/E130</f>
        <v>0.13648571428571432</v>
      </c>
      <c r="F146" s="46"/>
      <c r="G146" s="383"/>
      <c r="H146" s="382" t="s">
        <v>42</v>
      </c>
      <c r="I146" s="48" t="s">
        <v>715</v>
      </c>
      <c r="J146" s="486" t="s">
        <v>846</v>
      </c>
      <c r="K146" s="504"/>
      <c r="L146" s="504"/>
      <c r="M146" s="504"/>
      <c r="N146" s="504"/>
      <c r="O146" s="504"/>
      <c r="P146" s="505"/>
      <c r="Q146" s="2"/>
      <c r="R146" s="2"/>
      <c r="S146" s="2"/>
      <c r="T146" s="2"/>
      <c r="U146" s="2"/>
      <c r="V146" s="2"/>
      <c r="W146" s="2"/>
      <c r="X146" s="2"/>
      <c r="Y146" s="2"/>
    </row>
    <row r="147" spans="1:25" x14ac:dyDescent="0.25">
      <c r="A147" s="2"/>
      <c r="B147" s="18">
        <f t="shared" si="3"/>
        <v>12</v>
      </c>
      <c r="C147" s="44" t="s">
        <v>552</v>
      </c>
      <c r="D147" s="45" t="s">
        <v>628</v>
      </c>
      <c r="E147" s="377">
        <f>E130/E130</f>
        <v>1</v>
      </c>
      <c r="F147" s="46"/>
      <c r="G147" s="47"/>
      <c r="H147" s="48" t="s">
        <v>42</v>
      </c>
      <c r="I147" s="48" t="s">
        <v>680</v>
      </c>
      <c r="J147" s="486" t="s">
        <v>847</v>
      </c>
      <c r="K147" s="504"/>
      <c r="L147" s="504"/>
      <c r="M147" s="504"/>
      <c r="N147" s="504"/>
      <c r="O147" s="504"/>
      <c r="P147" s="505"/>
      <c r="Q147" s="2"/>
      <c r="R147" s="2"/>
      <c r="S147" s="2"/>
      <c r="T147" s="2"/>
      <c r="U147" s="2"/>
      <c r="V147" s="2"/>
      <c r="W147" s="2"/>
      <c r="X147" s="2"/>
      <c r="Y147" s="2"/>
    </row>
    <row r="148" spans="1:25" x14ac:dyDescent="0.25">
      <c r="A148" s="2"/>
      <c r="B148" s="18">
        <f t="shared" si="3"/>
        <v>13</v>
      </c>
      <c r="C148" s="44" t="s">
        <v>551</v>
      </c>
      <c r="D148" s="45"/>
      <c r="E148" s="377">
        <f>Electroplating!B19</f>
        <v>1.088E-6</v>
      </c>
      <c r="F148" s="46"/>
      <c r="G148" s="383">
        <f>Electroplating!D19</f>
        <v>1.7680000000000001E-6</v>
      </c>
      <c r="H148" s="382" t="s">
        <v>566</v>
      </c>
      <c r="I148" s="48">
        <v>9</v>
      </c>
      <c r="J148" s="486" t="s">
        <v>931</v>
      </c>
      <c r="K148" s="504"/>
      <c r="L148" s="504"/>
      <c r="M148" s="504"/>
      <c r="N148" s="504"/>
      <c r="O148" s="504"/>
      <c r="P148" s="505"/>
      <c r="Q148" s="2"/>
      <c r="R148" s="2"/>
      <c r="S148" s="2"/>
      <c r="T148" s="2"/>
      <c r="U148" s="2"/>
      <c r="V148" s="2"/>
      <c r="W148" s="2"/>
      <c r="X148" s="2"/>
      <c r="Y148" s="2"/>
    </row>
    <row r="149" spans="1:25" x14ac:dyDescent="0.25">
      <c r="A149" s="2"/>
      <c r="B149" s="18">
        <f t="shared" si="3"/>
        <v>6</v>
      </c>
      <c r="C149" s="44" t="s">
        <v>553</v>
      </c>
      <c r="D149" s="45" t="s">
        <v>629</v>
      </c>
      <c r="E149" s="377">
        <f>E148/E130</f>
        <v>1.5542857142857143E-6</v>
      </c>
      <c r="F149" s="46"/>
      <c r="G149" s="383"/>
      <c r="H149" s="48" t="s">
        <v>42</v>
      </c>
      <c r="I149" s="48" t="s">
        <v>715</v>
      </c>
      <c r="J149" s="486" t="s">
        <v>850</v>
      </c>
      <c r="K149" s="504"/>
      <c r="L149" s="504"/>
      <c r="M149" s="504"/>
      <c r="N149" s="504"/>
      <c r="O149" s="504"/>
      <c r="P149" s="505"/>
      <c r="Q149" s="2"/>
      <c r="R149" s="2"/>
      <c r="S149" s="2"/>
      <c r="T149" s="2"/>
      <c r="U149" s="2"/>
      <c r="V149" s="2"/>
      <c r="W149" s="2"/>
      <c r="X149" s="2"/>
      <c r="Y149" s="2"/>
    </row>
    <row r="150" spans="1:25" x14ac:dyDescent="0.25">
      <c r="A150" s="2"/>
      <c r="B150" s="18">
        <f t="shared" si="3"/>
        <v>15</v>
      </c>
      <c r="C150" s="44" t="s">
        <v>554</v>
      </c>
      <c r="D150" s="45"/>
      <c r="E150" s="377">
        <f>Electroplating!B20</f>
        <v>6.8000000000000013E-5</v>
      </c>
      <c r="F150" s="46"/>
      <c r="G150" s="47"/>
      <c r="H150" s="382" t="s">
        <v>566</v>
      </c>
      <c r="I150" s="48">
        <v>9</v>
      </c>
      <c r="J150" s="486" t="s">
        <v>848</v>
      </c>
      <c r="K150" s="504"/>
      <c r="L150" s="504"/>
      <c r="M150" s="504"/>
      <c r="N150" s="504"/>
      <c r="O150" s="504"/>
      <c r="P150" s="505"/>
      <c r="Q150" s="2"/>
      <c r="R150" s="2"/>
      <c r="S150" s="2"/>
      <c r="T150" s="2"/>
      <c r="U150" s="2"/>
      <c r="V150" s="2"/>
      <c r="W150" s="2"/>
      <c r="X150" s="2"/>
      <c r="Y150" s="2"/>
    </row>
    <row r="151" spans="1:25" x14ac:dyDescent="0.25">
      <c r="A151" s="2"/>
      <c r="B151" s="18">
        <f t="shared" si="3"/>
        <v>8</v>
      </c>
      <c r="C151" s="44" t="s">
        <v>555</v>
      </c>
      <c r="D151" s="45" t="s">
        <v>630</v>
      </c>
      <c r="E151" s="377">
        <f>E150/E124</f>
        <v>9.7142857142857165E-5</v>
      </c>
      <c r="F151" s="46"/>
      <c r="G151" s="47"/>
      <c r="H151" s="48" t="s">
        <v>42</v>
      </c>
      <c r="I151" s="48" t="s">
        <v>715</v>
      </c>
      <c r="J151" s="486" t="s">
        <v>849</v>
      </c>
      <c r="K151" s="504"/>
      <c r="L151" s="504"/>
      <c r="M151" s="504"/>
      <c r="N151" s="504"/>
      <c r="O151" s="504"/>
      <c r="P151" s="505"/>
      <c r="Q151" s="2"/>
      <c r="R151" s="2"/>
      <c r="S151" s="2"/>
      <c r="T151" s="2"/>
      <c r="U151" s="2"/>
      <c r="V151" s="2"/>
      <c r="W151" s="2"/>
      <c r="X151" s="2"/>
      <c r="Y151" s="2"/>
    </row>
    <row r="152" spans="1:25" x14ac:dyDescent="0.25">
      <c r="A152" s="2"/>
      <c r="B152" s="18">
        <f t="shared" si="3"/>
        <v>15</v>
      </c>
      <c r="C152" s="44" t="s">
        <v>556</v>
      </c>
      <c r="D152" s="45"/>
      <c r="E152" s="377">
        <f>Electroplating!B21</f>
        <v>2.0400000000000003E-4</v>
      </c>
      <c r="F152" s="46"/>
      <c r="G152" s="47"/>
      <c r="H152" s="382" t="s">
        <v>566</v>
      </c>
      <c r="I152" s="48">
        <v>9</v>
      </c>
      <c r="J152" s="486" t="s">
        <v>853</v>
      </c>
      <c r="K152" s="504"/>
      <c r="L152" s="504"/>
      <c r="M152" s="504"/>
      <c r="N152" s="504"/>
      <c r="O152" s="504"/>
      <c r="P152" s="505"/>
      <c r="Q152" s="2"/>
      <c r="R152" s="2"/>
      <c r="S152" s="2"/>
      <c r="T152" s="2"/>
      <c r="U152" s="2"/>
      <c r="V152" s="2"/>
      <c r="W152" s="2"/>
      <c r="X152" s="2"/>
      <c r="Y152" s="2"/>
    </row>
    <row r="153" spans="1:25" x14ac:dyDescent="0.25">
      <c r="A153" s="2"/>
      <c r="B153" s="18">
        <f t="shared" si="3"/>
        <v>8</v>
      </c>
      <c r="C153" s="44" t="s">
        <v>557</v>
      </c>
      <c r="D153" s="45" t="s">
        <v>631</v>
      </c>
      <c r="E153" s="377">
        <f>E152/E130</f>
        <v>2.914285714285715E-4</v>
      </c>
      <c r="F153" s="46"/>
      <c r="G153" s="47"/>
      <c r="H153" s="48" t="s">
        <v>42</v>
      </c>
      <c r="I153" s="48" t="s">
        <v>715</v>
      </c>
      <c r="J153" s="486" t="s">
        <v>854</v>
      </c>
      <c r="K153" s="504"/>
      <c r="L153" s="504"/>
      <c r="M153" s="504"/>
      <c r="N153" s="504"/>
      <c r="O153" s="504"/>
      <c r="P153" s="505"/>
      <c r="Q153" s="2"/>
      <c r="R153" s="2"/>
      <c r="S153" s="2"/>
      <c r="T153" s="2"/>
      <c r="U153" s="2"/>
      <c r="V153" s="2"/>
      <c r="W153" s="2"/>
      <c r="X153" s="2"/>
      <c r="Y153" s="2"/>
    </row>
    <row r="154" spans="1:25" x14ac:dyDescent="0.25">
      <c r="A154" s="2"/>
      <c r="B154" s="18">
        <f t="shared" si="3"/>
        <v>14</v>
      </c>
      <c r="C154" s="44" t="s">
        <v>565</v>
      </c>
      <c r="D154" s="45"/>
      <c r="E154" s="377">
        <f>Electroplating!B22</f>
        <v>3.4000000000000007E-5</v>
      </c>
      <c r="F154" s="46"/>
      <c r="G154" s="47"/>
      <c r="H154" s="382" t="s">
        <v>566</v>
      </c>
      <c r="I154" s="48">
        <v>9</v>
      </c>
      <c r="J154" s="486" t="s">
        <v>855</v>
      </c>
      <c r="K154" s="504"/>
      <c r="L154" s="504"/>
      <c r="M154" s="504"/>
      <c r="N154" s="504"/>
      <c r="O154" s="504"/>
      <c r="P154" s="505"/>
      <c r="Q154" s="2"/>
      <c r="R154" s="2"/>
      <c r="S154" s="2"/>
      <c r="T154" s="2"/>
      <c r="U154" s="2"/>
      <c r="V154" s="2"/>
      <c r="W154" s="2"/>
      <c r="X154" s="2"/>
      <c r="Y154" s="2"/>
    </row>
    <row r="155" spans="1:25" x14ac:dyDescent="0.25">
      <c r="A155" s="2"/>
      <c r="B155" s="18">
        <f t="shared" si="3"/>
        <v>10</v>
      </c>
      <c r="C155" s="44" t="s">
        <v>564</v>
      </c>
      <c r="D155" s="45" t="s">
        <v>632</v>
      </c>
      <c r="E155" s="377">
        <f>E154/E130</f>
        <v>4.8571428571428583E-5</v>
      </c>
      <c r="F155" s="46"/>
      <c r="G155" s="47"/>
      <c r="H155" s="48" t="s">
        <v>42</v>
      </c>
      <c r="I155" s="48" t="s">
        <v>715</v>
      </c>
      <c r="J155" s="486" t="s">
        <v>856</v>
      </c>
      <c r="K155" s="504"/>
      <c r="L155" s="504"/>
      <c r="M155" s="504"/>
      <c r="N155" s="504"/>
      <c r="O155" s="504"/>
      <c r="P155" s="505"/>
      <c r="Q155" s="2"/>
      <c r="R155" s="2"/>
      <c r="S155" s="2"/>
      <c r="T155" s="2"/>
      <c r="U155" s="2"/>
      <c r="V155" s="2"/>
      <c r="W155" s="2"/>
      <c r="X155" s="2"/>
      <c r="Y155" s="2"/>
    </row>
    <row r="156" spans="1:25" x14ac:dyDescent="0.25">
      <c r="A156" s="2"/>
      <c r="B156" s="18">
        <f t="shared" si="3"/>
        <v>14</v>
      </c>
      <c r="C156" s="44" t="s">
        <v>558</v>
      </c>
      <c r="D156" s="45"/>
      <c r="E156" s="377">
        <f>Electroplating!B23</f>
        <v>0.54400000000000004</v>
      </c>
      <c r="F156" s="46"/>
      <c r="G156" s="383">
        <f>Electroplating!D23</f>
        <v>0.88400000000000012</v>
      </c>
      <c r="H156" s="382" t="s">
        <v>566</v>
      </c>
      <c r="I156" s="48">
        <v>9</v>
      </c>
      <c r="J156" s="486" t="s">
        <v>932</v>
      </c>
      <c r="K156" s="504"/>
      <c r="L156" s="504"/>
      <c r="M156" s="504"/>
      <c r="N156" s="504"/>
      <c r="O156" s="504"/>
      <c r="P156" s="505"/>
      <c r="Q156" s="2"/>
      <c r="R156" s="2"/>
      <c r="S156" s="2"/>
      <c r="T156" s="2"/>
      <c r="U156" s="2"/>
      <c r="V156" s="2"/>
      <c r="W156" s="2"/>
      <c r="X156" s="2"/>
      <c r="Y156" s="2"/>
    </row>
    <row r="157" spans="1:25" x14ac:dyDescent="0.25">
      <c r="A157" s="2"/>
      <c r="B157" s="18">
        <f t="shared" si="3"/>
        <v>10</v>
      </c>
      <c r="C157" s="44" t="s">
        <v>559</v>
      </c>
      <c r="D157" s="45" t="s">
        <v>633</v>
      </c>
      <c r="E157" s="377">
        <f>E156/E130</f>
        <v>0.77714285714285725</v>
      </c>
      <c r="F157" s="46"/>
      <c r="G157" s="383"/>
      <c r="H157" s="48" t="s">
        <v>42</v>
      </c>
      <c r="I157" s="48" t="s">
        <v>715</v>
      </c>
      <c r="J157" s="486" t="s">
        <v>857</v>
      </c>
      <c r="K157" s="504"/>
      <c r="L157" s="504"/>
      <c r="M157" s="504"/>
      <c r="N157" s="504"/>
      <c r="O157" s="504"/>
      <c r="P157" s="505"/>
      <c r="Q157" s="2"/>
      <c r="R157" s="2"/>
      <c r="S157" s="2"/>
      <c r="T157" s="2"/>
      <c r="U157" s="2"/>
      <c r="V157" s="2"/>
      <c r="W157" s="2"/>
      <c r="X157" s="2"/>
      <c r="Y157" s="2"/>
    </row>
    <row r="158" spans="1:25" x14ac:dyDescent="0.25">
      <c r="A158" s="2"/>
      <c r="B158" s="18">
        <f t="shared" si="3"/>
        <v>11</v>
      </c>
      <c r="C158" s="44" t="s">
        <v>560</v>
      </c>
      <c r="D158" s="45"/>
      <c r="E158" s="377">
        <f>Electroplating!B24</f>
        <v>3.8080000000000002E-6</v>
      </c>
      <c r="F158" s="46"/>
      <c r="G158" s="383">
        <f>Electroplating!D24</f>
        <v>5.1680000000000003E-6</v>
      </c>
      <c r="H158" s="382" t="s">
        <v>566</v>
      </c>
      <c r="I158" s="48">
        <v>9</v>
      </c>
      <c r="J158" s="486" t="s">
        <v>858</v>
      </c>
      <c r="K158" s="504"/>
      <c r="L158" s="504"/>
      <c r="M158" s="504"/>
      <c r="N158" s="504"/>
      <c r="O158" s="504"/>
      <c r="P158" s="505"/>
      <c r="Q158" s="2"/>
      <c r="R158" s="2"/>
      <c r="S158" s="2"/>
      <c r="T158" s="2"/>
      <c r="U158" s="2"/>
      <c r="V158" s="2"/>
      <c r="W158" s="2"/>
      <c r="X158" s="2"/>
      <c r="Y158" s="2"/>
    </row>
    <row r="159" spans="1:25" x14ac:dyDescent="0.25">
      <c r="A159" s="2"/>
      <c r="B159" s="18">
        <f t="shared" si="3"/>
        <v>8</v>
      </c>
      <c r="C159" s="44" t="s">
        <v>562</v>
      </c>
      <c r="D159" s="45" t="s">
        <v>634</v>
      </c>
      <c r="E159" s="377">
        <f>E158/E130</f>
        <v>5.4400000000000004E-6</v>
      </c>
      <c r="F159" s="46"/>
      <c r="G159" s="383"/>
      <c r="H159" s="48" t="s">
        <v>42</v>
      </c>
      <c r="I159" s="48" t="s">
        <v>715</v>
      </c>
      <c r="J159" s="486" t="s">
        <v>859</v>
      </c>
      <c r="K159" s="504"/>
      <c r="L159" s="504"/>
      <c r="M159" s="504"/>
      <c r="N159" s="504"/>
      <c r="O159" s="504"/>
      <c r="P159" s="505"/>
      <c r="Q159" s="2"/>
      <c r="R159" s="2"/>
      <c r="S159" s="2"/>
      <c r="T159" s="2"/>
      <c r="U159" s="2"/>
      <c r="V159" s="2"/>
      <c r="W159" s="2"/>
      <c r="X159" s="2"/>
      <c r="Y159" s="2"/>
    </row>
    <row r="160" spans="1:25" x14ac:dyDescent="0.25">
      <c r="A160" s="2"/>
      <c r="B160" s="18">
        <f t="shared" si="3"/>
        <v>8</v>
      </c>
      <c r="C160" s="44" t="s">
        <v>860</v>
      </c>
      <c r="D160" s="45" t="s">
        <v>863</v>
      </c>
      <c r="E160" s="377">
        <f>E54+E72</f>
        <v>11.292941032664173</v>
      </c>
      <c r="F160" s="46"/>
      <c r="G160" s="383"/>
      <c r="H160" s="48" t="s">
        <v>270</v>
      </c>
      <c r="I160" s="48" t="s">
        <v>867</v>
      </c>
      <c r="J160" s="486" t="s">
        <v>864</v>
      </c>
      <c r="K160" s="508"/>
      <c r="L160" s="508"/>
      <c r="M160" s="508"/>
      <c r="N160" s="508"/>
      <c r="O160" s="508"/>
      <c r="P160" s="509"/>
      <c r="Q160" s="2"/>
      <c r="R160" s="2"/>
      <c r="S160" s="2"/>
      <c r="T160" s="2"/>
      <c r="U160" s="2"/>
      <c r="V160" s="2"/>
      <c r="W160" s="2"/>
      <c r="X160" s="2"/>
      <c r="Y160" s="2"/>
    </row>
    <row r="161" spans="1:25" x14ac:dyDescent="0.25">
      <c r="A161" s="2"/>
      <c r="B161" s="18">
        <f t="shared" si="3"/>
        <v>15</v>
      </c>
      <c r="C161" s="44" t="s">
        <v>862</v>
      </c>
      <c r="D161" s="45" t="s">
        <v>869</v>
      </c>
      <c r="E161" s="377">
        <f>E63+E66+E69+E126+E144</f>
        <v>8.2152832653061232</v>
      </c>
      <c r="F161" s="46"/>
      <c r="G161" s="383"/>
      <c r="H161" s="48" t="s">
        <v>299</v>
      </c>
      <c r="I161" s="48" t="s">
        <v>715</v>
      </c>
      <c r="J161" s="486" t="s">
        <v>865</v>
      </c>
      <c r="K161" s="508"/>
      <c r="L161" s="508"/>
      <c r="M161" s="508"/>
      <c r="N161" s="508"/>
      <c r="O161" s="508"/>
      <c r="P161" s="509"/>
      <c r="Q161" s="2"/>
      <c r="R161" s="2"/>
      <c r="S161" s="2"/>
      <c r="T161" s="2"/>
      <c r="U161" s="2"/>
      <c r="V161" s="2"/>
      <c r="W161" s="2"/>
      <c r="X161" s="2"/>
      <c r="Y161" s="2"/>
    </row>
    <row r="162" spans="1:25" x14ac:dyDescent="0.25">
      <c r="A162" s="2"/>
      <c r="B162" s="18">
        <f t="shared" si="3"/>
        <v>9</v>
      </c>
      <c r="C162" s="44" t="s">
        <v>861</v>
      </c>
      <c r="D162" s="45" t="s">
        <v>888</v>
      </c>
      <c r="E162" s="377">
        <f>E58+E76+E142</f>
        <v>8.8302844767641773</v>
      </c>
      <c r="F162" s="46"/>
      <c r="G162" s="383"/>
      <c r="H162" s="48" t="s">
        <v>42</v>
      </c>
      <c r="I162" s="48" t="s">
        <v>868</v>
      </c>
      <c r="J162" s="486" t="s">
        <v>866</v>
      </c>
      <c r="K162" s="508"/>
      <c r="L162" s="508"/>
      <c r="M162" s="508"/>
      <c r="N162" s="508"/>
      <c r="O162" s="508"/>
      <c r="P162" s="509"/>
      <c r="Q162" s="2"/>
      <c r="R162" s="2"/>
      <c r="S162" s="2"/>
      <c r="T162" s="2"/>
      <c r="U162" s="2"/>
      <c r="V162" s="2"/>
      <c r="W162" s="2"/>
      <c r="X162" s="2"/>
      <c r="Y162" s="2"/>
    </row>
    <row r="163" spans="1:25" x14ac:dyDescent="0.25">
      <c r="A163" s="2"/>
      <c r="B163" s="18">
        <f t="shared" si="3"/>
        <v>10</v>
      </c>
      <c r="C163" s="44" t="s">
        <v>900</v>
      </c>
      <c r="D163" s="45" t="s">
        <v>901</v>
      </c>
      <c r="E163" s="377">
        <f>E93+E159</f>
        <v>5.4793877551020414E-6</v>
      </c>
      <c r="F163" s="46"/>
      <c r="G163" s="383"/>
      <c r="H163" s="48" t="s">
        <v>42</v>
      </c>
      <c r="I163" s="48" t="s">
        <v>903</v>
      </c>
      <c r="J163" s="486" t="s">
        <v>904</v>
      </c>
      <c r="K163" s="508"/>
      <c r="L163" s="508"/>
      <c r="M163" s="508"/>
      <c r="N163" s="508"/>
      <c r="O163" s="508"/>
      <c r="P163" s="509"/>
      <c r="Q163" s="2"/>
      <c r="R163" s="2"/>
      <c r="S163" s="2"/>
      <c r="T163" s="2"/>
      <c r="U163" s="2"/>
      <c r="V163" s="2"/>
      <c r="W163" s="2"/>
      <c r="X163" s="2"/>
      <c r="Y163" s="2"/>
    </row>
    <row r="164" spans="1:25" x14ac:dyDescent="0.25">
      <c r="A164" s="2"/>
      <c r="B164" s="18">
        <f t="shared" si="3"/>
        <v>13</v>
      </c>
      <c r="C164" s="44" t="s">
        <v>939</v>
      </c>
      <c r="D164" s="45" t="s">
        <v>940</v>
      </c>
      <c r="E164" s="377">
        <f>E157+E58</f>
        <v>7.0327334563560138</v>
      </c>
      <c r="F164" s="46"/>
      <c r="G164" s="383"/>
      <c r="H164" s="48" t="s">
        <v>42</v>
      </c>
      <c r="I164" s="48" t="s">
        <v>942</v>
      </c>
      <c r="J164" s="486" t="s">
        <v>941</v>
      </c>
      <c r="K164" s="508"/>
      <c r="L164" s="508"/>
      <c r="M164" s="508"/>
      <c r="N164" s="508"/>
      <c r="O164" s="508"/>
      <c r="P164" s="509"/>
      <c r="Q164" s="2"/>
      <c r="R164" s="2"/>
      <c r="S164" s="2"/>
      <c r="T164" s="2"/>
      <c r="U164" s="2"/>
      <c r="V164" s="2"/>
      <c r="W164" s="2"/>
      <c r="X164" s="2"/>
      <c r="Y164" s="2"/>
    </row>
    <row r="165" spans="1:25" x14ac:dyDescent="0.25">
      <c r="A165" s="2"/>
      <c r="B165" s="9"/>
      <c r="C165" s="49" t="s">
        <v>66</v>
      </c>
      <c r="D165" s="50" t="s">
        <v>67</v>
      </c>
      <c r="E165" s="51"/>
      <c r="F165" s="51"/>
      <c r="G165" s="51"/>
      <c r="H165" s="52"/>
      <c r="I165" s="53"/>
      <c r="J165" s="54"/>
      <c r="K165" s="54"/>
      <c r="L165" s="54"/>
      <c r="M165" s="54"/>
      <c r="N165" s="54"/>
      <c r="O165" s="54"/>
      <c r="P165" s="55"/>
      <c r="Q165" s="2"/>
      <c r="R165" s="2"/>
      <c r="S165" s="2"/>
      <c r="T165" s="2"/>
      <c r="U165" s="2"/>
      <c r="V165" s="2"/>
      <c r="W165" s="2"/>
      <c r="X165" s="2"/>
      <c r="Y165" s="2"/>
    </row>
    <row r="166" spans="1:25" ht="15.75" thickBot="1" x14ac:dyDescent="0.3">
      <c r="A166" s="2"/>
      <c r="B166" s="9"/>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thickBot="1" x14ac:dyDescent="0.3">
      <c r="A167" s="32"/>
      <c r="B167" s="479" t="s">
        <v>68</v>
      </c>
      <c r="C167" s="480"/>
      <c r="D167" s="480"/>
      <c r="E167" s="480"/>
      <c r="F167" s="480"/>
      <c r="G167" s="480"/>
      <c r="H167" s="480"/>
      <c r="I167" s="480"/>
      <c r="J167" s="480"/>
      <c r="K167" s="480"/>
      <c r="L167" s="480"/>
      <c r="M167" s="480"/>
      <c r="N167" s="480"/>
      <c r="O167" s="480"/>
      <c r="P167" s="481"/>
      <c r="Q167" s="32"/>
      <c r="R167" s="32"/>
      <c r="S167" s="32"/>
      <c r="T167" s="32"/>
      <c r="U167" s="32"/>
      <c r="V167" s="32"/>
      <c r="W167" s="32"/>
      <c r="X167" s="32"/>
      <c r="Y167" s="32"/>
    </row>
    <row r="168" spans="1:25" x14ac:dyDescent="0.25">
      <c r="A168" s="2"/>
      <c r="B168" s="9"/>
      <c r="C168" s="2"/>
      <c r="D168" s="2"/>
      <c r="E168" s="2"/>
      <c r="F168" s="2"/>
      <c r="G168" s="2"/>
      <c r="H168" s="42" t="s">
        <v>69</v>
      </c>
      <c r="I168" s="2"/>
      <c r="J168" s="2"/>
      <c r="K168" s="2"/>
      <c r="L168" s="2"/>
      <c r="M168" s="2"/>
      <c r="N168" s="2"/>
      <c r="O168" s="2"/>
      <c r="P168" s="2"/>
      <c r="Q168" s="2"/>
      <c r="R168" s="2"/>
      <c r="S168" s="2"/>
      <c r="T168" s="2"/>
      <c r="U168" s="2"/>
      <c r="V168" s="2"/>
      <c r="W168" s="2"/>
      <c r="X168" s="2"/>
      <c r="Y168" s="2"/>
    </row>
    <row r="169" spans="1:25" x14ac:dyDescent="0.25">
      <c r="A169" s="2"/>
      <c r="B169" s="9"/>
      <c r="C169" s="43" t="s">
        <v>70</v>
      </c>
      <c r="D169" s="43" t="s">
        <v>71</v>
      </c>
      <c r="E169" s="43" t="s">
        <v>60</v>
      </c>
      <c r="F169" s="43" t="s">
        <v>72</v>
      </c>
      <c r="G169" s="43" t="s">
        <v>70</v>
      </c>
      <c r="H169" s="43" t="s">
        <v>63</v>
      </c>
      <c r="I169" s="43" t="s">
        <v>73</v>
      </c>
      <c r="J169" s="43" t="s">
        <v>74</v>
      </c>
      <c r="K169" s="43" t="s">
        <v>75</v>
      </c>
      <c r="L169" s="43" t="s">
        <v>76</v>
      </c>
      <c r="M169" s="43" t="s">
        <v>64</v>
      </c>
      <c r="N169" s="510" t="s">
        <v>65</v>
      </c>
      <c r="O169" s="510"/>
      <c r="P169" s="510"/>
      <c r="Q169" s="2"/>
      <c r="R169" s="2"/>
      <c r="S169" s="2"/>
      <c r="T169" s="2"/>
      <c r="U169" s="2"/>
      <c r="V169" s="2"/>
      <c r="W169" s="2"/>
      <c r="X169" s="32"/>
      <c r="Y169" s="32"/>
    </row>
    <row r="170" spans="1:25" ht="14.25" customHeight="1" x14ac:dyDescent="0.25">
      <c r="A170" s="2"/>
      <c r="B170" s="9"/>
      <c r="C170" s="56" t="s">
        <v>248</v>
      </c>
      <c r="D170" s="57" t="s">
        <v>872</v>
      </c>
      <c r="E170" s="58">
        <v>1</v>
      </c>
      <c r="F170" s="58" t="s">
        <v>42</v>
      </c>
      <c r="G170" s="59">
        <f t="shared" ref="G170:G182" si="4">IF($C170="",1,VLOOKUP($C170,$C$22:$H$165,3,FALSE))</f>
        <v>1.4693877551020409</v>
      </c>
      <c r="H170" s="60" t="str">
        <f t="shared" ref="H170:H182" si="5">IF($C170="","",VLOOKUP($C170,$C$22:$H$165,6,FALSE))</f>
        <v>kg</v>
      </c>
      <c r="I170" s="422">
        <f>IF(D170="","",E170*G170*$D$5)</f>
        <v>1.4693877551020409</v>
      </c>
      <c r="J170" s="58"/>
      <c r="K170" s="61" t="s">
        <v>103</v>
      </c>
      <c r="L170" s="58"/>
      <c r="M170" s="62" t="s">
        <v>680</v>
      </c>
      <c r="N170" s="506" t="s">
        <v>884</v>
      </c>
      <c r="O170" s="507"/>
      <c r="P170" s="507"/>
      <c r="Q170" s="2"/>
      <c r="R170" s="2"/>
      <c r="S170" s="2"/>
      <c r="T170" s="2"/>
      <c r="U170" s="2"/>
      <c r="V170" s="2"/>
      <c r="W170" s="2"/>
      <c r="X170" s="32"/>
      <c r="Y170" s="32"/>
    </row>
    <row r="171" spans="1:25" x14ac:dyDescent="0.25">
      <c r="A171" s="2"/>
      <c r="B171" s="9"/>
      <c r="C171" s="44" t="s">
        <v>421</v>
      </c>
      <c r="D171" s="63" t="s">
        <v>873</v>
      </c>
      <c r="E171" s="58">
        <v>1</v>
      </c>
      <c r="F171" s="58" t="s">
        <v>42</v>
      </c>
      <c r="G171" s="59">
        <f t="shared" si="4"/>
        <v>2.6078932960788385E-2</v>
      </c>
      <c r="H171" s="60" t="str">
        <f t="shared" si="5"/>
        <v>kg</v>
      </c>
      <c r="I171" s="422">
        <f t="shared" ref="I171:I182" si="6">IF(D171="","",E171*G171*$D$5)</f>
        <v>2.6078932960788385E-2</v>
      </c>
      <c r="J171" s="58"/>
      <c r="K171" s="61" t="s">
        <v>103</v>
      </c>
      <c r="L171" s="58"/>
      <c r="M171" s="62" t="s">
        <v>680</v>
      </c>
      <c r="N171" s="506" t="s">
        <v>884</v>
      </c>
      <c r="O171" s="507"/>
      <c r="P171" s="507"/>
      <c r="Q171" s="2"/>
      <c r="R171" s="2"/>
      <c r="S171" s="2"/>
      <c r="T171" s="2"/>
      <c r="U171" s="2"/>
      <c r="V171" s="2"/>
      <c r="W171" s="2"/>
      <c r="X171" s="32"/>
      <c r="Y171" s="32"/>
    </row>
    <row r="172" spans="1:25" x14ac:dyDescent="0.25">
      <c r="A172" s="2"/>
      <c r="B172" s="9"/>
      <c r="C172" s="44" t="s">
        <v>249</v>
      </c>
      <c r="D172" s="63" t="s">
        <v>874</v>
      </c>
      <c r="E172" s="58">
        <v>1</v>
      </c>
      <c r="F172" s="58" t="s">
        <v>42</v>
      </c>
      <c r="G172" s="59">
        <f t="shared" si="4"/>
        <v>0.55102040816326536</v>
      </c>
      <c r="H172" s="60" t="str">
        <f t="shared" si="5"/>
        <v>kg</v>
      </c>
      <c r="I172" s="422">
        <f t="shared" si="6"/>
        <v>0.55102040816326536</v>
      </c>
      <c r="J172" s="58"/>
      <c r="K172" s="61" t="s">
        <v>103</v>
      </c>
      <c r="L172" s="58"/>
      <c r="M172" s="62" t="s">
        <v>680</v>
      </c>
      <c r="N172" s="506" t="s">
        <v>884</v>
      </c>
      <c r="O172" s="507"/>
      <c r="P172" s="507"/>
      <c r="Q172" s="2"/>
      <c r="R172" s="2"/>
      <c r="S172" s="2"/>
      <c r="T172" s="2"/>
      <c r="U172" s="2"/>
      <c r="V172" s="2"/>
      <c r="W172" s="2"/>
      <c r="X172" s="32"/>
      <c r="Y172" s="32"/>
    </row>
    <row r="173" spans="1:25" x14ac:dyDescent="0.25">
      <c r="A173" s="2"/>
      <c r="B173" s="9"/>
      <c r="C173" s="64" t="s">
        <v>481</v>
      </c>
      <c r="D173" s="65" t="s">
        <v>875</v>
      </c>
      <c r="E173" s="58">
        <v>1</v>
      </c>
      <c r="F173" s="58" t="s">
        <v>42</v>
      </c>
      <c r="G173" s="59">
        <f t="shared" si="4"/>
        <v>0.87755102040816324</v>
      </c>
      <c r="H173" s="60" t="str">
        <f t="shared" si="5"/>
        <v>kg</v>
      </c>
      <c r="I173" s="422">
        <f t="shared" si="6"/>
        <v>0.87755102040816324</v>
      </c>
      <c r="J173" s="58"/>
      <c r="K173" s="61" t="s">
        <v>103</v>
      </c>
      <c r="L173" s="58"/>
      <c r="M173" s="62" t="s">
        <v>680</v>
      </c>
      <c r="N173" s="506" t="s">
        <v>884</v>
      </c>
      <c r="O173" s="507"/>
      <c r="P173" s="507"/>
      <c r="Q173" s="2"/>
      <c r="R173" s="2"/>
      <c r="S173" s="2"/>
      <c r="T173" s="2"/>
      <c r="U173" s="2"/>
      <c r="V173" s="2"/>
      <c r="W173" s="2"/>
      <c r="X173" s="32"/>
      <c r="Y173" s="32"/>
    </row>
    <row r="174" spans="1:25" x14ac:dyDescent="0.25">
      <c r="A174" s="2"/>
      <c r="B174" s="9"/>
      <c r="C174" s="64" t="s">
        <v>442</v>
      </c>
      <c r="D174" s="63" t="s">
        <v>876</v>
      </c>
      <c r="E174" s="58">
        <v>1</v>
      </c>
      <c r="F174" s="58" t="s">
        <v>42</v>
      </c>
      <c r="G174" s="59">
        <f t="shared" si="4"/>
        <v>9.7142857142857165E-5</v>
      </c>
      <c r="H174" s="60" t="str">
        <f t="shared" si="5"/>
        <v>kg</v>
      </c>
      <c r="I174" s="422">
        <f t="shared" si="6"/>
        <v>9.7142857142857165E-5</v>
      </c>
      <c r="J174" s="58"/>
      <c r="K174" s="61" t="s">
        <v>103</v>
      </c>
      <c r="L174" s="58"/>
      <c r="M174" s="62" t="s">
        <v>715</v>
      </c>
      <c r="N174" s="506" t="s">
        <v>884</v>
      </c>
      <c r="O174" s="507"/>
      <c r="P174" s="507"/>
      <c r="Q174" s="2"/>
      <c r="R174" s="2"/>
      <c r="S174" s="2"/>
      <c r="T174" s="2"/>
      <c r="U174" s="2"/>
      <c r="V174" s="2"/>
      <c r="W174" s="2"/>
      <c r="X174" s="32"/>
      <c r="Y174" s="32"/>
    </row>
    <row r="175" spans="1:25" x14ac:dyDescent="0.25">
      <c r="A175" s="2"/>
      <c r="B175" s="9"/>
      <c r="C175" s="64" t="s">
        <v>441</v>
      </c>
      <c r="D175" s="65" t="s">
        <v>877</v>
      </c>
      <c r="E175" s="58">
        <v>1</v>
      </c>
      <c r="F175" s="58" t="s">
        <v>42</v>
      </c>
      <c r="G175" s="59">
        <f t="shared" si="4"/>
        <v>1.9428571428571433E-4</v>
      </c>
      <c r="H175" s="60" t="str">
        <f t="shared" si="5"/>
        <v>kg</v>
      </c>
      <c r="I175" s="422">
        <f t="shared" si="6"/>
        <v>1.9428571428571433E-4</v>
      </c>
      <c r="J175" s="58"/>
      <c r="K175" s="61" t="s">
        <v>103</v>
      </c>
      <c r="L175" s="58"/>
      <c r="M175" s="62" t="s">
        <v>715</v>
      </c>
      <c r="N175" s="506" t="s">
        <v>884</v>
      </c>
      <c r="O175" s="507"/>
      <c r="P175" s="507"/>
      <c r="Q175" s="2"/>
      <c r="R175" s="2"/>
      <c r="S175" s="2"/>
      <c r="T175" s="2"/>
      <c r="U175" s="2"/>
      <c r="V175" s="2"/>
      <c r="W175" s="2"/>
      <c r="X175" s="32"/>
      <c r="Y175" s="32"/>
    </row>
    <row r="176" spans="1:25" x14ac:dyDescent="0.25">
      <c r="A176" s="2"/>
      <c r="B176" s="9"/>
      <c r="C176" s="64" t="s">
        <v>543</v>
      </c>
      <c r="D176" s="65" t="s">
        <v>878</v>
      </c>
      <c r="E176" s="58">
        <v>1</v>
      </c>
      <c r="F176" s="58" t="s">
        <v>42</v>
      </c>
      <c r="G176" s="59">
        <f t="shared" si="4"/>
        <v>2.3314285714285716E-4</v>
      </c>
      <c r="H176" s="60" t="str">
        <f t="shared" si="5"/>
        <v>kg</v>
      </c>
      <c r="I176" s="422">
        <f t="shared" si="6"/>
        <v>2.3314285714285716E-4</v>
      </c>
      <c r="J176" s="58"/>
      <c r="K176" s="61" t="s">
        <v>103</v>
      </c>
      <c r="L176" s="58"/>
      <c r="M176" s="62" t="s">
        <v>715</v>
      </c>
      <c r="N176" s="506" t="s">
        <v>884</v>
      </c>
      <c r="O176" s="507"/>
      <c r="P176" s="507"/>
      <c r="Q176" s="2"/>
      <c r="R176" s="2"/>
      <c r="S176" s="2"/>
      <c r="T176" s="2"/>
      <c r="U176" s="2"/>
      <c r="V176" s="2"/>
      <c r="W176" s="2"/>
      <c r="X176" s="32"/>
      <c r="Y176" s="32"/>
    </row>
    <row r="177" spans="1:25" x14ac:dyDescent="0.25">
      <c r="A177" s="2"/>
      <c r="B177" s="9"/>
      <c r="C177" s="64" t="s">
        <v>437</v>
      </c>
      <c r="D177" s="65" t="s">
        <v>879</v>
      </c>
      <c r="E177" s="58">
        <v>1</v>
      </c>
      <c r="F177" s="58" t="s">
        <v>42</v>
      </c>
      <c r="G177" s="59">
        <f t="shared" si="4"/>
        <v>4.8571428571428577E-4</v>
      </c>
      <c r="H177" s="60" t="str">
        <f t="shared" si="5"/>
        <v>kg</v>
      </c>
      <c r="I177" s="422">
        <f t="shared" si="6"/>
        <v>4.8571428571428577E-4</v>
      </c>
      <c r="J177" s="58"/>
      <c r="K177" s="61" t="s">
        <v>103</v>
      </c>
      <c r="L177" s="58"/>
      <c r="M177" s="62" t="s">
        <v>715</v>
      </c>
      <c r="N177" s="506" t="s">
        <v>884</v>
      </c>
      <c r="O177" s="507"/>
      <c r="P177" s="507"/>
      <c r="Q177" s="2"/>
      <c r="R177" s="2"/>
      <c r="S177" s="2"/>
      <c r="T177" s="2"/>
      <c r="U177" s="2"/>
      <c r="V177" s="2"/>
      <c r="W177" s="2"/>
      <c r="X177" s="32"/>
      <c r="Y177" s="32"/>
    </row>
    <row r="178" spans="1:25" x14ac:dyDescent="0.25">
      <c r="A178" s="2"/>
      <c r="B178" s="9"/>
      <c r="C178" s="58" t="s">
        <v>439</v>
      </c>
      <c r="D178" s="64" t="s">
        <v>880</v>
      </c>
      <c r="E178" s="58">
        <v>1</v>
      </c>
      <c r="F178" s="58" t="s">
        <v>42</v>
      </c>
      <c r="G178" s="59">
        <f t="shared" si="4"/>
        <v>1.7874285714285715E-3</v>
      </c>
      <c r="H178" s="60" t="str">
        <f t="shared" si="5"/>
        <v>kg</v>
      </c>
      <c r="I178" s="422">
        <f t="shared" si="6"/>
        <v>1.7874285714285715E-3</v>
      </c>
      <c r="J178" s="58"/>
      <c r="K178" s="61" t="s">
        <v>103</v>
      </c>
      <c r="L178" s="58"/>
      <c r="M178" s="62" t="s">
        <v>715</v>
      </c>
      <c r="N178" s="506" t="s">
        <v>884</v>
      </c>
      <c r="O178" s="507"/>
      <c r="P178" s="507"/>
      <c r="Q178" s="2"/>
      <c r="R178" s="2"/>
      <c r="S178" s="2"/>
      <c r="T178" s="2"/>
      <c r="U178" s="2"/>
      <c r="V178" s="2"/>
      <c r="W178" s="2"/>
      <c r="X178" s="32"/>
      <c r="Y178" s="32"/>
    </row>
    <row r="179" spans="1:25" x14ac:dyDescent="0.25">
      <c r="A179" s="2"/>
      <c r="B179" s="9"/>
      <c r="C179" s="58" t="s">
        <v>561</v>
      </c>
      <c r="D179" s="64" t="s">
        <v>895</v>
      </c>
      <c r="E179" s="58">
        <v>1</v>
      </c>
      <c r="F179" s="58" t="s">
        <v>42</v>
      </c>
      <c r="G179" s="59">
        <f t="shared" si="4"/>
        <v>0.13648571428571432</v>
      </c>
      <c r="H179" s="60" t="str">
        <f t="shared" si="5"/>
        <v>kg</v>
      </c>
      <c r="I179" s="422">
        <f t="shared" si="6"/>
        <v>0.13648571428571432</v>
      </c>
      <c r="J179" s="58"/>
      <c r="K179" s="61" t="s">
        <v>103</v>
      </c>
      <c r="L179" s="58"/>
      <c r="M179" s="62" t="s">
        <v>715</v>
      </c>
      <c r="N179" s="506" t="s">
        <v>884</v>
      </c>
      <c r="O179" s="507"/>
      <c r="P179" s="507"/>
      <c r="Q179" s="2"/>
      <c r="R179" s="2"/>
      <c r="S179" s="2"/>
      <c r="T179" s="2"/>
      <c r="U179" s="2"/>
      <c r="V179" s="2"/>
      <c r="W179" s="2"/>
      <c r="X179" s="32"/>
      <c r="Y179" s="32"/>
    </row>
    <row r="180" spans="1:25" x14ac:dyDescent="0.25">
      <c r="A180" s="2"/>
      <c r="B180" s="9"/>
      <c r="C180" s="58" t="s">
        <v>860</v>
      </c>
      <c r="D180" s="64" t="s">
        <v>881</v>
      </c>
      <c r="E180" s="58">
        <v>1</v>
      </c>
      <c r="F180" s="58" t="s">
        <v>270</v>
      </c>
      <c r="G180" s="59">
        <f t="shared" si="4"/>
        <v>11.292941032664173</v>
      </c>
      <c r="H180" s="60" t="str">
        <f t="shared" si="5"/>
        <v>MJ</v>
      </c>
      <c r="I180" s="422">
        <f t="shared" si="6"/>
        <v>11.292941032664173</v>
      </c>
      <c r="J180" s="58"/>
      <c r="K180" s="61" t="s">
        <v>103</v>
      </c>
      <c r="L180" s="58"/>
      <c r="M180" s="423" t="s">
        <v>867</v>
      </c>
      <c r="N180" s="506" t="s">
        <v>884</v>
      </c>
      <c r="O180" s="507"/>
      <c r="P180" s="507"/>
      <c r="Q180" s="2"/>
      <c r="R180" s="2"/>
      <c r="S180" s="2"/>
      <c r="T180" s="2"/>
      <c r="U180" s="2"/>
      <c r="V180" s="2"/>
      <c r="W180" s="2"/>
      <c r="X180" s="32"/>
      <c r="Y180" s="32"/>
    </row>
    <row r="181" spans="1:25" x14ac:dyDescent="0.25">
      <c r="A181" s="2"/>
      <c r="B181" s="9"/>
      <c r="C181" s="58" t="s">
        <v>862</v>
      </c>
      <c r="D181" s="64" t="s">
        <v>882</v>
      </c>
      <c r="E181" s="58">
        <v>1</v>
      </c>
      <c r="F181" s="58" t="s">
        <v>299</v>
      </c>
      <c r="G181" s="59">
        <f t="shared" si="4"/>
        <v>8.2152832653061232</v>
      </c>
      <c r="H181" s="60" t="str">
        <f t="shared" si="5"/>
        <v>kWh</v>
      </c>
      <c r="I181" s="422">
        <f t="shared" si="6"/>
        <v>8.2152832653061232</v>
      </c>
      <c r="J181" s="58"/>
      <c r="K181" s="61" t="s">
        <v>103</v>
      </c>
      <c r="L181" s="58"/>
      <c r="M181" s="423" t="s">
        <v>715</v>
      </c>
      <c r="N181" s="506" t="s">
        <v>884</v>
      </c>
      <c r="O181" s="507"/>
      <c r="P181" s="507"/>
      <c r="Q181" s="2"/>
      <c r="R181" s="2"/>
      <c r="S181" s="2"/>
      <c r="T181" s="2"/>
      <c r="U181" s="2"/>
      <c r="V181" s="2"/>
      <c r="W181" s="2"/>
      <c r="X181" s="32"/>
      <c r="Y181" s="32"/>
    </row>
    <row r="182" spans="1:25" x14ac:dyDescent="0.25">
      <c r="A182" s="2"/>
      <c r="B182" s="9"/>
      <c r="C182" s="58" t="s">
        <v>861</v>
      </c>
      <c r="D182" s="64" t="s">
        <v>886</v>
      </c>
      <c r="E182" s="58">
        <v>1</v>
      </c>
      <c r="F182" s="58" t="s">
        <v>42</v>
      </c>
      <c r="G182" s="59">
        <f t="shared" si="4"/>
        <v>8.8302844767641773</v>
      </c>
      <c r="H182" s="60" t="str">
        <f t="shared" si="5"/>
        <v>kg</v>
      </c>
      <c r="I182" s="422">
        <f t="shared" si="6"/>
        <v>8.8302844767641773</v>
      </c>
      <c r="J182" s="58"/>
      <c r="K182" s="61" t="s">
        <v>103</v>
      </c>
      <c r="L182" s="58"/>
      <c r="M182" s="423" t="s">
        <v>868</v>
      </c>
      <c r="N182" s="506" t="s">
        <v>885</v>
      </c>
      <c r="O182" s="507"/>
      <c r="P182" s="507"/>
      <c r="Q182" s="2"/>
      <c r="R182" s="2"/>
      <c r="S182" s="2"/>
      <c r="T182" s="2"/>
      <c r="U182" s="2"/>
      <c r="V182" s="2"/>
      <c r="W182" s="2"/>
      <c r="X182" s="32"/>
      <c r="Y182" s="32"/>
    </row>
    <row r="183" spans="1:25" x14ac:dyDescent="0.25">
      <c r="A183" s="2"/>
      <c r="B183" s="9"/>
      <c r="C183" s="66" t="s">
        <v>66</v>
      </c>
      <c r="D183" s="50" t="s">
        <v>67</v>
      </c>
      <c r="E183" s="67" t="s">
        <v>77</v>
      </c>
      <c r="F183" s="50"/>
      <c r="G183" s="50"/>
      <c r="H183" s="50"/>
      <c r="I183" s="67" t="s">
        <v>78</v>
      </c>
      <c r="J183" s="50"/>
      <c r="K183" s="67"/>
      <c r="L183" s="50" t="s">
        <v>79</v>
      </c>
      <c r="M183" s="68"/>
      <c r="N183" s="499"/>
      <c r="O183" s="499"/>
      <c r="P183" s="499"/>
      <c r="Q183" s="2"/>
      <c r="R183" s="2"/>
      <c r="S183" s="2"/>
      <c r="T183" s="2"/>
      <c r="U183" s="2"/>
      <c r="V183" s="2"/>
      <c r="W183" s="2"/>
      <c r="X183" s="32"/>
      <c r="Y183" s="32"/>
    </row>
    <row r="184" spans="1:25" ht="15.75" thickBot="1" x14ac:dyDescent="0.3">
      <c r="A184" s="2"/>
      <c r="B184" s="9"/>
      <c r="C184" s="2"/>
      <c r="D184" s="2"/>
      <c r="E184" s="2"/>
      <c r="F184" s="2"/>
      <c r="G184" s="2"/>
      <c r="H184" s="2"/>
      <c r="I184" s="2"/>
      <c r="J184" s="2"/>
      <c r="K184" s="2"/>
      <c r="L184" s="2"/>
      <c r="M184" s="2"/>
      <c r="N184" s="2"/>
      <c r="O184" s="2"/>
      <c r="P184" s="2"/>
      <c r="Q184" s="2"/>
      <c r="R184" s="2"/>
      <c r="S184" s="2"/>
      <c r="T184" s="2"/>
      <c r="U184" s="2"/>
      <c r="V184" s="2"/>
      <c r="W184" s="2"/>
      <c r="X184" s="32"/>
      <c r="Y184" s="32"/>
    </row>
    <row r="185" spans="1:25" ht="15.75" thickBot="1" x14ac:dyDescent="0.3">
      <c r="A185" s="32"/>
      <c r="B185" s="479" t="s">
        <v>80</v>
      </c>
      <c r="C185" s="480"/>
      <c r="D185" s="480"/>
      <c r="E185" s="480"/>
      <c r="F185" s="480"/>
      <c r="G185" s="480"/>
      <c r="H185" s="480"/>
      <c r="I185" s="480"/>
      <c r="J185" s="480"/>
      <c r="K185" s="480"/>
      <c r="L185" s="480"/>
      <c r="M185" s="480"/>
      <c r="N185" s="480"/>
      <c r="O185" s="480"/>
      <c r="P185" s="481"/>
      <c r="Q185" s="32"/>
      <c r="R185" s="32"/>
      <c r="S185" s="32"/>
      <c r="T185" s="32"/>
      <c r="U185" s="32"/>
      <c r="V185" s="32"/>
      <c r="W185" s="32"/>
      <c r="X185" s="32"/>
      <c r="Y185" s="32"/>
    </row>
    <row r="186" spans="1:25" x14ac:dyDescent="0.25">
      <c r="A186" s="2"/>
      <c r="B186" s="9"/>
      <c r="C186" s="2"/>
      <c r="D186" s="2"/>
      <c r="E186" s="2"/>
      <c r="F186" s="2"/>
      <c r="G186" s="2"/>
      <c r="H186" s="42" t="s">
        <v>81</v>
      </c>
      <c r="I186" s="2"/>
      <c r="J186" s="2"/>
      <c r="K186" s="2"/>
      <c r="L186" s="2"/>
      <c r="M186" s="2"/>
      <c r="N186" s="2"/>
      <c r="O186" s="2"/>
      <c r="P186" s="2"/>
      <c r="Q186" s="2"/>
      <c r="R186" s="2"/>
      <c r="S186" s="2"/>
      <c r="T186" s="2"/>
      <c r="U186" s="2"/>
      <c r="V186" s="2"/>
      <c r="W186" s="2"/>
      <c r="X186" s="32"/>
      <c r="Y186" s="32"/>
    </row>
    <row r="187" spans="1:25" x14ac:dyDescent="0.25">
      <c r="A187" s="2"/>
      <c r="B187" s="9"/>
      <c r="C187" s="43" t="s">
        <v>70</v>
      </c>
      <c r="D187" s="43" t="s">
        <v>71</v>
      </c>
      <c r="E187" s="43" t="s">
        <v>60</v>
      </c>
      <c r="F187" s="43" t="s">
        <v>72</v>
      </c>
      <c r="G187" s="43" t="s">
        <v>70</v>
      </c>
      <c r="H187" s="43" t="s">
        <v>63</v>
      </c>
      <c r="I187" s="43" t="s">
        <v>73</v>
      </c>
      <c r="J187" s="43" t="s">
        <v>74</v>
      </c>
      <c r="K187" s="43" t="s">
        <v>75</v>
      </c>
      <c r="L187" s="43" t="s">
        <v>76</v>
      </c>
      <c r="M187" s="43" t="s">
        <v>64</v>
      </c>
      <c r="N187" s="510" t="s">
        <v>65</v>
      </c>
      <c r="O187" s="510"/>
      <c r="P187" s="510"/>
      <c r="Q187" s="2"/>
      <c r="R187" s="2"/>
      <c r="S187" s="2"/>
      <c r="T187" s="2"/>
      <c r="U187" s="2"/>
      <c r="V187" s="2"/>
      <c r="W187" s="2"/>
      <c r="X187" s="32"/>
      <c r="Y187" s="32"/>
    </row>
    <row r="188" spans="1:25" x14ac:dyDescent="0.25">
      <c r="A188" s="2"/>
      <c r="B188" s="9"/>
      <c r="C188" s="69" t="s">
        <v>552</v>
      </c>
      <c r="D188" s="70" t="s">
        <v>883</v>
      </c>
      <c r="E188" s="71">
        <v>1</v>
      </c>
      <c r="F188" s="71" t="s">
        <v>42</v>
      </c>
      <c r="G188" s="59">
        <f t="shared" ref="G188:G215" si="7">IF($C188="",1,VLOOKUP($C188,$C$22:$H$165,3,FALSE))</f>
        <v>1</v>
      </c>
      <c r="H188" s="60" t="str">
        <f t="shared" ref="H188:H215" si="8">IF($C188="","",VLOOKUP($C188,$C$22:$H$165,6,FALSE))</f>
        <v>kg</v>
      </c>
      <c r="I188" s="422">
        <f>IF(D188="","",E188*G188*$D$5)</f>
        <v>1</v>
      </c>
      <c r="J188" s="71"/>
      <c r="K188" s="61" t="s">
        <v>103</v>
      </c>
      <c r="L188" s="58"/>
      <c r="M188" s="424" t="s">
        <v>680</v>
      </c>
      <c r="N188" s="500" t="s">
        <v>82</v>
      </c>
      <c r="O188" s="500"/>
      <c r="P188" s="500"/>
      <c r="Q188" s="2"/>
      <c r="R188" s="2"/>
      <c r="S188" s="2"/>
      <c r="T188" s="2"/>
      <c r="U188" s="2"/>
      <c r="V188" s="2"/>
      <c r="W188" s="2"/>
      <c r="X188" s="32"/>
      <c r="Y188" s="32"/>
    </row>
    <row r="189" spans="1:25" x14ac:dyDescent="0.25">
      <c r="A189" s="2"/>
      <c r="B189" s="9"/>
      <c r="C189" s="69" t="s">
        <v>512</v>
      </c>
      <c r="D189" s="70" t="s">
        <v>889</v>
      </c>
      <c r="E189" s="71">
        <v>1</v>
      </c>
      <c r="F189" s="71" t="s">
        <v>270</v>
      </c>
      <c r="G189" s="59">
        <f t="shared" si="7"/>
        <v>3.1428571428571428</v>
      </c>
      <c r="H189" s="60" t="str">
        <f t="shared" si="8"/>
        <v>MJ</v>
      </c>
      <c r="I189" s="422">
        <f t="shared" ref="I189:I215" si="9">IF(D189="","",E189*G189*$D$5)</f>
        <v>3.1428571428571428</v>
      </c>
      <c r="J189" s="71"/>
      <c r="K189" s="61"/>
      <c r="L189" s="58"/>
      <c r="M189" s="423" t="s">
        <v>707</v>
      </c>
      <c r="N189" s="500" t="s">
        <v>84</v>
      </c>
      <c r="O189" s="500"/>
      <c r="P189" s="500"/>
      <c r="Q189" s="2"/>
      <c r="R189" s="2"/>
      <c r="S189" s="2"/>
      <c r="T189" s="2"/>
      <c r="U189" s="2"/>
      <c r="V189" s="2"/>
      <c r="W189" s="2"/>
      <c r="X189" s="32"/>
      <c r="Y189" s="32"/>
    </row>
    <row r="190" spans="1:25" x14ac:dyDescent="0.25">
      <c r="A190" s="2"/>
      <c r="B190" s="9"/>
      <c r="C190" s="64" t="s">
        <v>426</v>
      </c>
      <c r="D190" s="421" t="s">
        <v>89</v>
      </c>
      <c r="E190" s="64">
        <v>1</v>
      </c>
      <c r="F190" s="71" t="s">
        <v>42</v>
      </c>
      <c r="G190" s="59">
        <f t="shared" si="7"/>
        <v>4.204081632653061E-4</v>
      </c>
      <c r="H190" s="60" t="str">
        <f t="shared" si="8"/>
        <v>kg</v>
      </c>
      <c r="I190" s="422">
        <f t="shared" si="9"/>
        <v>4.204081632653061E-4</v>
      </c>
      <c r="J190" s="64"/>
      <c r="K190" s="61"/>
      <c r="L190" s="58"/>
      <c r="M190" s="423" t="s">
        <v>707</v>
      </c>
      <c r="N190" s="500" t="s">
        <v>84</v>
      </c>
      <c r="O190" s="500"/>
      <c r="P190" s="500"/>
      <c r="Q190" s="2"/>
      <c r="R190" s="2"/>
      <c r="S190" s="2"/>
      <c r="T190" s="2"/>
      <c r="U190" s="2"/>
      <c r="V190" s="2"/>
      <c r="W190" s="2"/>
      <c r="X190" s="32"/>
      <c r="Y190" s="32"/>
    </row>
    <row r="191" spans="1:25" x14ac:dyDescent="0.25">
      <c r="A191" s="2"/>
      <c r="B191" s="9"/>
      <c r="C191" s="64" t="s">
        <v>310</v>
      </c>
      <c r="D191" s="220" t="s">
        <v>890</v>
      </c>
      <c r="E191" s="64">
        <v>1</v>
      </c>
      <c r="F191" s="71" t="s">
        <v>42</v>
      </c>
      <c r="G191" s="59">
        <f t="shared" si="7"/>
        <v>3.9387755102040821E-8</v>
      </c>
      <c r="H191" s="60" t="str">
        <f t="shared" si="8"/>
        <v>kg</v>
      </c>
      <c r="I191" s="422">
        <f t="shared" si="9"/>
        <v>3.9387755102040821E-8</v>
      </c>
      <c r="J191" s="64"/>
      <c r="K191" s="61"/>
      <c r="L191" s="58"/>
      <c r="M191" s="423" t="s">
        <v>707</v>
      </c>
      <c r="N191" s="500" t="s">
        <v>84</v>
      </c>
      <c r="O191" s="500"/>
      <c r="P191" s="500"/>
      <c r="Q191" s="2"/>
      <c r="R191" s="2"/>
      <c r="S191" s="2"/>
      <c r="T191" s="2"/>
      <c r="U191" s="2"/>
      <c r="V191" s="2"/>
      <c r="W191" s="2"/>
      <c r="X191" s="32"/>
      <c r="Y191" s="32"/>
    </row>
    <row r="192" spans="1:25" x14ac:dyDescent="0.25">
      <c r="A192" s="2"/>
      <c r="B192" s="9"/>
      <c r="C192" s="64" t="s">
        <v>312</v>
      </c>
      <c r="D192" s="72" t="s">
        <v>891</v>
      </c>
      <c r="E192" s="64">
        <v>1</v>
      </c>
      <c r="F192" s="71" t="s">
        <v>42</v>
      </c>
      <c r="G192" s="59">
        <f t="shared" si="7"/>
        <v>1.563265306122449E-7</v>
      </c>
      <c r="H192" s="60" t="str">
        <f t="shared" si="8"/>
        <v>kg</v>
      </c>
      <c r="I192" s="422">
        <f t="shared" si="9"/>
        <v>1.563265306122449E-7</v>
      </c>
      <c r="J192" s="64"/>
      <c r="K192" s="61"/>
      <c r="L192" s="58"/>
      <c r="M192" s="423" t="s">
        <v>707</v>
      </c>
      <c r="N192" s="500" t="s">
        <v>84</v>
      </c>
      <c r="O192" s="500"/>
      <c r="P192" s="500"/>
      <c r="Q192" s="2"/>
      <c r="R192" s="2"/>
      <c r="S192" s="2"/>
      <c r="T192" s="2"/>
      <c r="U192" s="2"/>
      <c r="V192" s="2"/>
      <c r="W192" s="2"/>
      <c r="X192" s="32"/>
      <c r="Y192" s="32"/>
    </row>
    <row r="193" spans="1:25" x14ac:dyDescent="0.25">
      <c r="A193" s="2"/>
      <c r="B193" s="9"/>
      <c r="C193" s="64" t="s">
        <v>313</v>
      </c>
      <c r="D193" s="72" t="s">
        <v>91</v>
      </c>
      <c r="E193" s="64">
        <v>1</v>
      </c>
      <c r="F193" s="71" t="s">
        <v>42</v>
      </c>
      <c r="G193" s="59">
        <f t="shared" si="7"/>
        <v>1.5448979591836734E-7</v>
      </c>
      <c r="H193" s="60" t="str">
        <f t="shared" si="8"/>
        <v>kg</v>
      </c>
      <c r="I193" s="422">
        <f t="shared" si="9"/>
        <v>1.5448979591836734E-7</v>
      </c>
      <c r="J193" s="64"/>
      <c r="K193" s="61"/>
      <c r="L193" s="58"/>
      <c r="M193" s="423" t="s">
        <v>707</v>
      </c>
      <c r="N193" s="500" t="s">
        <v>84</v>
      </c>
      <c r="O193" s="500"/>
      <c r="P193" s="500"/>
      <c r="Q193" s="2"/>
      <c r="R193" s="2"/>
      <c r="S193" s="2"/>
      <c r="T193" s="2"/>
      <c r="U193" s="2"/>
      <c r="V193" s="2"/>
      <c r="W193" s="2"/>
      <c r="X193" s="32"/>
      <c r="Y193" s="32"/>
    </row>
    <row r="194" spans="1:25" x14ac:dyDescent="0.25">
      <c r="A194" s="2"/>
      <c r="B194" s="9"/>
      <c r="C194" s="64" t="s">
        <v>314</v>
      </c>
      <c r="D194" s="73" t="s">
        <v>892</v>
      </c>
      <c r="E194" s="64">
        <v>1</v>
      </c>
      <c r="F194" s="71" t="s">
        <v>42</v>
      </c>
      <c r="G194" s="59">
        <f t="shared" si="7"/>
        <v>3.9387755102040813E-7</v>
      </c>
      <c r="H194" s="60" t="str">
        <f t="shared" si="8"/>
        <v>kg</v>
      </c>
      <c r="I194" s="422">
        <f t="shared" si="9"/>
        <v>3.9387755102040813E-7</v>
      </c>
      <c r="J194" s="64"/>
      <c r="K194" s="61"/>
      <c r="L194" s="58"/>
      <c r="M194" s="423" t="s">
        <v>707</v>
      </c>
      <c r="N194" s="500" t="s">
        <v>84</v>
      </c>
      <c r="O194" s="500"/>
      <c r="P194" s="500"/>
      <c r="Q194" s="2"/>
      <c r="R194" s="2"/>
      <c r="S194" s="2"/>
      <c r="T194" s="2"/>
      <c r="U194" s="2"/>
      <c r="V194" s="2"/>
      <c r="W194" s="2"/>
      <c r="X194" s="32"/>
      <c r="Y194" s="32"/>
    </row>
    <row r="195" spans="1:25" x14ac:dyDescent="0.25">
      <c r="A195" s="2"/>
      <c r="B195" s="9"/>
      <c r="C195" s="64" t="s">
        <v>900</v>
      </c>
      <c r="D195" s="220" t="s">
        <v>893</v>
      </c>
      <c r="E195" s="64">
        <v>1</v>
      </c>
      <c r="F195" s="71" t="s">
        <v>42</v>
      </c>
      <c r="G195" s="59">
        <f t="shared" si="7"/>
        <v>5.4793877551020414E-6</v>
      </c>
      <c r="H195" s="60" t="str">
        <f t="shared" si="8"/>
        <v>kg</v>
      </c>
      <c r="I195" s="422">
        <f>IF(D195="","",E195*G195*$D$5)</f>
        <v>5.4793877551020414E-6</v>
      </c>
      <c r="J195" s="64"/>
      <c r="K195" s="61"/>
      <c r="L195" s="58"/>
      <c r="M195" s="423" t="s">
        <v>903</v>
      </c>
      <c r="N195" s="500" t="s">
        <v>84</v>
      </c>
      <c r="O195" s="500"/>
      <c r="P195" s="500"/>
      <c r="Q195" s="2"/>
      <c r="R195" s="2"/>
      <c r="S195" s="2"/>
      <c r="T195" s="2"/>
      <c r="U195" s="2"/>
      <c r="V195" s="2"/>
      <c r="W195" s="2"/>
      <c r="X195" s="32"/>
      <c r="Y195" s="32"/>
    </row>
    <row r="196" spans="1:25" x14ac:dyDescent="0.25">
      <c r="A196" s="2"/>
      <c r="B196" s="9"/>
      <c r="C196" s="64" t="s">
        <v>316</v>
      </c>
      <c r="D196" s="73" t="s">
        <v>90</v>
      </c>
      <c r="E196" s="64">
        <v>1</v>
      </c>
      <c r="F196" s="71" t="s">
        <v>42</v>
      </c>
      <c r="G196" s="59">
        <f t="shared" si="7"/>
        <v>6.5918367346938773E-6</v>
      </c>
      <c r="H196" s="60" t="str">
        <f t="shared" si="8"/>
        <v>kg</v>
      </c>
      <c r="I196" s="422">
        <f t="shared" si="9"/>
        <v>6.5918367346938773E-6</v>
      </c>
      <c r="J196" s="64"/>
      <c r="K196" s="61"/>
      <c r="L196" s="58"/>
      <c r="M196" s="423" t="s">
        <v>707</v>
      </c>
      <c r="N196" s="500" t="s">
        <v>84</v>
      </c>
      <c r="O196" s="500"/>
      <c r="P196" s="500"/>
      <c r="Q196" s="2"/>
      <c r="R196" s="2"/>
      <c r="S196" s="2"/>
      <c r="T196" s="2"/>
      <c r="U196" s="2"/>
      <c r="V196" s="2"/>
      <c r="W196" s="2"/>
      <c r="X196" s="32"/>
      <c r="Y196" s="32"/>
    </row>
    <row r="197" spans="1:25" x14ac:dyDescent="0.25">
      <c r="A197" s="2"/>
      <c r="B197" s="9"/>
      <c r="C197" s="64" t="s">
        <v>317</v>
      </c>
      <c r="D197" s="73" t="s">
        <v>896</v>
      </c>
      <c r="E197" s="64">
        <v>1</v>
      </c>
      <c r="F197" s="71" t="s">
        <v>42</v>
      </c>
      <c r="G197" s="59">
        <f t="shared" si="7"/>
        <v>3.2653061224489801E-8</v>
      </c>
      <c r="H197" s="60" t="str">
        <f t="shared" si="8"/>
        <v>kg</v>
      </c>
      <c r="I197" s="422">
        <f t="shared" si="9"/>
        <v>3.2653061224489801E-8</v>
      </c>
      <c r="J197" s="64"/>
      <c r="K197" s="61"/>
      <c r="L197" s="58"/>
      <c r="M197" s="423" t="s">
        <v>707</v>
      </c>
      <c r="N197" s="500" t="s">
        <v>84</v>
      </c>
      <c r="O197" s="500"/>
      <c r="P197" s="500"/>
      <c r="Q197" s="2"/>
      <c r="R197" s="2"/>
      <c r="S197" s="2"/>
      <c r="T197" s="2"/>
      <c r="U197" s="2"/>
      <c r="V197" s="2"/>
      <c r="W197" s="2"/>
      <c r="X197" s="32"/>
      <c r="Y197" s="32"/>
    </row>
    <row r="198" spans="1:25" x14ac:dyDescent="0.25">
      <c r="A198" s="2"/>
      <c r="B198" s="9"/>
      <c r="C198" s="64" t="s">
        <v>318</v>
      </c>
      <c r="D198" s="73" t="s">
        <v>897</v>
      </c>
      <c r="E198" s="64">
        <v>1</v>
      </c>
      <c r="F198" s="71" t="s">
        <v>42</v>
      </c>
      <c r="G198" s="59">
        <f t="shared" si="7"/>
        <v>2.3469387755102044E-8</v>
      </c>
      <c r="H198" s="60" t="str">
        <f t="shared" si="8"/>
        <v>kg</v>
      </c>
      <c r="I198" s="422">
        <f>IF(D198="","",E198*G198*$D$5)</f>
        <v>2.3469387755102044E-8</v>
      </c>
      <c r="J198" s="64"/>
      <c r="K198" s="61"/>
      <c r="L198" s="58"/>
      <c r="M198" s="423" t="s">
        <v>707</v>
      </c>
      <c r="N198" s="500" t="s">
        <v>84</v>
      </c>
      <c r="O198" s="500"/>
      <c r="P198" s="500"/>
      <c r="Q198" s="2"/>
      <c r="R198" s="2"/>
      <c r="S198" s="2"/>
      <c r="T198" s="2"/>
      <c r="U198" s="2"/>
      <c r="V198" s="2"/>
      <c r="W198" s="2"/>
      <c r="X198" s="32"/>
      <c r="Y198" s="32"/>
    </row>
    <row r="199" spans="1:25" x14ac:dyDescent="0.25">
      <c r="A199" s="2"/>
      <c r="B199" s="9"/>
      <c r="C199" s="64" t="s">
        <v>319</v>
      </c>
      <c r="D199" s="72" t="s">
        <v>898</v>
      </c>
      <c r="E199" s="64">
        <v>1</v>
      </c>
      <c r="F199" s="71" t="s">
        <v>42</v>
      </c>
      <c r="G199" s="59">
        <f t="shared" si="7"/>
        <v>1.6857142857142858E-6</v>
      </c>
      <c r="H199" s="60" t="str">
        <f t="shared" si="8"/>
        <v>kg</v>
      </c>
      <c r="I199" s="422">
        <f t="shared" si="9"/>
        <v>1.6857142857142858E-6</v>
      </c>
      <c r="J199" s="64"/>
      <c r="K199" s="61"/>
      <c r="L199" s="58"/>
      <c r="M199" s="423" t="s">
        <v>707</v>
      </c>
      <c r="N199" s="500" t="s">
        <v>84</v>
      </c>
      <c r="O199" s="500"/>
      <c r="P199" s="500"/>
      <c r="Q199" s="2"/>
      <c r="R199" s="2"/>
      <c r="S199" s="2"/>
      <c r="T199" s="2"/>
      <c r="U199" s="2"/>
      <c r="V199" s="2"/>
      <c r="W199" s="2"/>
      <c r="X199" s="32"/>
      <c r="Y199" s="32"/>
    </row>
    <row r="200" spans="1:25" x14ac:dyDescent="0.25">
      <c r="A200" s="2"/>
      <c r="B200" s="9"/>
      <c r="C200" s="64" t="s">
        <v>320</v>
      </c>
      <c r="D200" s="220" t="s">
        <v>913</v>
      </c>
      <c r="E200" s="64">
        <v>1</v>
      </c>
      <c r="F200" s="71" t="s">
        <v>42</v>
      </c>
      <c r="G200" s="59">
        <f t="shared" si="7"/>
        <v>7.6734693877551026E-5</v>
      </c>
      <c r="H200" s="60" t="str">
        <f t="shared" si="8"/>
        <v>kg</v>
      </c>
      <c r="I200" s="422">
        <f t="shared" si="9"/>
        <v>7.6734693877551026E-5</v>
      </c>
      <c r="J200" s="64"/>
      <c r="K200" s="61"/>
      <c r="L200" s="58"/>
      <c r="M200" s="423" t="s">
        <v>707</v>
      </c>
      <c r="N200" s="500" t="s">
        <v>84</v>
      </c>
      <c r="O200" s="500"/>
      <c r="P200" s="500"/>
      <c r="Q200" s="2"/>
      <c r="R200" s="2"/>
      <c r="S200" s="2"/>
      <c r="T200" s="2"/>
      <c r="U200" s="2"/>
      <c r="V200" s="2"/>
      <c r="W200" s="2"/>
      <c r="X200" s="32"/>
      <c r="Y200" s="32"/>
    </row>
    <row r="201" spans="1:25" x14ac:dyDescent="0.25">
      <c r="A201" s="2"/>
      <c r="B201" s="9"/>
      <c r="C201" s="64" t="s">
        <v>321</v>
      </c>
      <c r="D201" s="72" t="s">
        <v>92</v>
      </c>
      <c r="E201" s="64">
        <v>1</v>
      </c>
      <c r="F201" s="71" t="s">
        <v>42</v>
      </c>
      <c r="G201" s="59">
        <f t="shared" si="7"/>
        <v>4.5918367346938778E-6</v>
      </c>
      <c r="H201" s="60" t="str">
        <f t="shared" si="8"/>
        <v>kg</v>
      </c>
      <c r="I201" s="422">
        <f t="shared" si="9"/>
        <v>4.5918367346938778E-6</v>
      </c>
      <c r="J201" s="64"/>
      <c r="K201" s="61"/>
      <c r="L201" s="58"/>
      <c r="M201" s="423" t="s">
        <v>707</v>
      </c>
      <c r="N201" s="500" t="s">
        <v>84</v>
      </c>
      <c r="O201" s="500"/>
      <c r="P201" s="500"/>
      <c r="Q201" s="2"/>
      <c r="R201" s="2"/>
      <c r="S201" s="2"/>
      <c r="T201" s="2"/>
      <c r="U201" s="2"/>
      <c r="V201" s="2"/>
      <c r="W201" s="2"/>
      <c r="X201" s="32"/>
      <c r="Y201" s="32"/>
    </row>
    <row r="202" spans="1:25" x14ac:dyDescent="0.25">
      <c r="A202" s="2"/>
      <c r="B202" s="9"/>
      <c r="C202" s="64" t="s">
        <v>527</v>
      </c>
      <c r="D202" s="72" t="s">
        <v>85</v>
      </c>
      <c r="E202" s="64">
        <v>1</v>
      </c>
      <c r="F202" s="71" t="s">
        <v>42</v>
      </c>
      <c r="G202" s="59">
        <f t="shared" si="7"/>
        <v>1.0755102040816327E-3</v>
      </c>
      <c r="H202" s="60" t="str">
        <f t="shared" si="8"/>
        <v>kg</v>
      </c>
      <c r="I202" s="422">
        <f t="shared" si="9"/>
        <v>1.0755102040816327E-3</v>
      </c>
      <c r="J202" s="64"/>
      <c r="K202" s="61"/>
      <c r="L202" s="58"/>
      <c r="M202" s="423" t="s">
        <v>707</v>
      </c>
      <c r="N202" s="500" t="s">
        <v>84</v>
      </c>
      <c r="O202" s="500"/>
      <c r="P202" s="500"/>
      <c r="Q202" s="2"/>
      <c r="R202" s="2"/>
      <c r="S202" s="2"/>
      <c r="T202" s="2"/>
      <c r="U202" s="2"/>
      <c r="V202" s="2"/>
      <c r="W202" s="2"/>
      <c r="X202" s="32"/>
      <c r="Y202" s="32"/>
    </row>
    <row r="203" spans="1:25" x14ac:dyDescent="0.25">
      <c r="A203" s="2"/>
      <c r="B203" s="9"/>
      <c r="C203" s="64" t="s">
        <v>323</v>
      </c>
      <c r="D203" s="72" t="s">
        <v>86</v>
      </c>
      <c r="E203" s="64">
        <v>1</v>
      </c>
      <c r="F203" s="71" t="s">
        <v>42</v>
      </c>
      <c r="G203" s="59">
        <f t="shared" si="7"/>
        <v>2.5714285714285717E-3</v>
      </c>
      <c r="H203" s="60" t="str">
        <f t="shared" si="8"/>
        <v>kg</v>
      </c>
      <c r="I203" s="422">
        <f t="shared" si="9"/>
        <v>2.5714285714285717E-3</v>
      </c>
      <c r="J203" s="64"/>
      <c r="K203" s="61"/>
      <c r="L203" s="58"/>
      <c r="M203" s="423" t="s">
        <v>707</v>
      </c>
      <c r="N203" s="500" t="s">
        <v>84</v>
      </c>
      <c r="O203" s="500"/>
      <c r="P203" s="500"/>
      <c r="Q203" s="2"/>
      <c r="R203" s="2"/>
      <c r="S203" s="2"/>
      <c r="T203" s="2"/>
      <c r="U203" s="2"/>
      <c r="V203" s="2"/>
      <c r="W203" s="2"/>
      <c r="X203" s="32"/>
      <c r="Y203" s="32"/>
    </row>
    <row r="204" spans="1:25" x14ac:dyDescent="0.25">
      <c r="A204" s="2"/>
      <c r="B204" s="9"/>
      <c r="C204" s="64" t="s">
        <v>324</v>
      </c>
      <c r="D204" s="72" t="s">
        <v>87</v>
      </c>
      <c r="E204" s="64">
        <v>1</v>
      </c>
      <c r="F204" s="71" t="s">
        <v>42</v>
      </c>
      <c r="G204" s="59">
        <f t="shared" si="7"/>
        <v>5.2448979591836739E-2</v>
      </c>
      <c r="H204" s="60" t="str">
        <f t="shared" si="8"/>
        <v>kg</v>
      </c>
      <c r="I204" s="422">
        <f t="shared" si="9"/>
        <v>5.2448979591836739E-2</v>
      </c>
      <c r="J204" s="64"/>
      <c r="K204" s="61"/>
      <c r="L204" s="58"/>
      <c r="M204" s="423" t="s">
        <v>707</v>
      </c>
      <c r="N204" s="500" t="s">
        <v>84</v>
      </c>
      <c r="O204" s="500"/>
      <c r="P204" s="500"/>
      <c r="Q204" s="2"/>
      <c r="R204" s="2"/>
      <c r="S204" s="2"/>
      <c r="T204" s="2"/>
      <c r="U204" s="2"/>
      <c r="V204" s="2"/>
      <c r="W204" s="2"/>
      <c r="X204" s="32"/>
      <c r="Y204" s="32"/>
    </row>
    <row r="205" spans="1:25" x14ac:dyDescent="0.25">
      <c r="A205" s="2"/>
      <c r="B205" s="9"/>
      <c r="C205" s="64" t="s">
        <v>325</v>
      </c>
      <c r="D205" s="72" t="s">
        <v>83</v>
      </c>
      <c r="E205" s="64">
        <v>1</v>
      </c>
      <c r="F205" s="71" t="s">
        <v>42</v>
      </c>
      <c r="G205" s="59">
        <f t="shared" si="7"/>
        <v>0.41632653061224489</v>
      </c>
      <c r="H205" s="60" t="str">
        <f t="shared" si="8"/>
        <v>kg</v>
      </c>
      <c r="I205" s="422">
        <f t="shared" si="9"/>
        <v>0.41632653061224489</v>
      </c>
      <c r="J205" s="64"/>
      <c r="K205" s="61"/>
      <c r="L205" s="58"/>
      <c r="M205" s="423" t="s">
        <v>707</v>
      </c>
      <c r="N205" s="500" t="s">
        <v>84</v>
      </c>
      <c r="O205" s="500"/>
      <c r="P205" s="500"/>
      <c r="Q205" s="2"/>
      <c r="R205" s="2"/>
      <c r="S205" s="2"/>
      <c r="T205" s="2"/>
      <c r="U205" s="2"/>
      <c r="V205" s="2"/>
      <c r="W205" s="2"/>
      <c r="X205" s="32"/>
      <c r="Y205" s="32"/>
    </row>
    <row r="206" spans="1:25" x14ac:dyDescent="0.25">
      <c r="A206" s="2"/>
      <c r="B206" s="9"/>
      <c r="C206" s="64" t="s">
        <v>326</v>
      </c>
      <c r="D206" s="73" t="s">
        <v>88</v>
      </c>
      <c r="E206" s="64">
        <v>1</v>
      </c>
      <c r="F206" s="71" t="s">
        <v>42</v>
      </c>
      <c r="G206" s="59">
        <f t="shared" si="7"/>
        <v>2.8163265306122449E-4</v>
      </c>
      <c r="H206" s="60" t="str">
        <f t="shared" si="8"/>
        <v>kg</v>
      </c>
      <c r="I206" s="422">
        <f t="shared" si="9"/>
        <v>2.8163265306122449E-4</v>
      </c>
      <c r="J206" s="64"/>
      <c r="K206" s="61"/>
      <c r="L206" s="58"/>
      <c r="M206" s="423" t="s">
        <v>707</v>
      </c>
      <c r="N206" s="500" t="s">
        <v>84</v>
      </c>
      <c r="O206" s="500"/>
      <c r="P206" s="500"/>
      <c r="Q206" s="2"/>
      <c r="R206" s="2"/>
      <c r="S206" s="2"/>
      <c r="T206" s="2"/>
      <c r="U206" s="2"/>
      <c r="V206" s="2"/>
      <c r="W206" s="2"/>
      <c r="X206" s="32"/>
      <c r="Y206" s="32"/>
    </row>
    <row r="207" spans="1:25" x14ac:dyDescent="0.25">
      <c r="A207" s="2"/>
      <c r="B207" s="9"/>
      <c r="C207" s="64" t="s">
        <v>327</v>
      </c>
      <c r="D207" s="73" t="s">
        <v>899</v>
      </c>
      <c r="E207" s="64">
        <v>1</v>
      </c>
      <c r="F207" s="71" t="s">
        <v>42</v>
      </c>
      <c r="G207" s="59">
        <f t="shared" si="7"/>
        <v>9.6326530612244914E-10</v>
      </c>
      <c r="H207" s="60" t="str">
        <f t="shared" si="8"/>
        <v>kg</v>
      </c>
      <c r="I207" s="422">
        <f t="shared" si="9"/>
        <v>9.6326530612244914E-10</v>
      </c>
      <c r="J207" s="64"/>
      <c r="K207" s="61"/>
      <c r="L207" s="58"/>
      <c r="M207" s="423" t="s">
        <v>707</v>
      </c>
      <c r="N207" s="500" t="s">
        <v>84</v>
      </c>
      <c r="O207" s="500"/>
      <c r="P207" s="500"/>
      <c r="Q207" s="2"/>
      <c r="R207" s="2"/>
      <c r="S207" s="2"/>
      <c r="T207" s="2"/>
      <c r="U207" s="2"/>
      <c r="V207" s="2"/>
      <c r="W207" s="2"/>
      <c r="X207" s="32"/>
      <c r="Y207" s="32"/>
    </row>
    <row r="208" spans="1:25" x14ac:dyDescent="0.25">
      <c r="A208" s="2"/>
      <c r="B208" s="9"/>
      <c r="C208" s="64" t="s">
        <v>328</v>
      </c>
      <c r="D208" s="73" t="s">
        <v>902</v>
      </c>
      <c r="E208" s="64">
        <v>1</v>
      </c>
      <c r="F208" s="71" t="s">
        <v>42</v>
      </c>
      <c r="G208" s="59">
        <f t="shared" si="7"/>
        <v>1.310204081632653E-11</v>
      </c>
      <c r="H208" s="60" t="str">
        <f t="shared" si="8"/>
        <v>kg</v>
      </c>
      <c r="I208" s="422">
        <f t="shared" si="9"/>
        <v>1.310204081632653E-11</v>
      </c>
      <c r="J208" s="64"/>
      <c r="K208" s="61"/>
      <c r="L208" s="58"/>
      <c r="M208" s="423" t="s">
        <v>707</v>
      </c>
      <c r="N208" s="500" t="s">
        <v>84</v>
      </c>
      <c r="O208" s="500"/>
      <c r="P208" s="500"/>
      <c r="Q208" s="2"/>
      <c r="R208" s="2"/>
      <c r="S208" s="2"/>
      <c r="T208" s="2"/>
      <c r="U208" s="2"/>
      <c r="V208" s="2"/>
      <c r="W208" s="2"/>
      <c r="X208" s="32"/>
      <c r="Y208" s="32"/>
    </row>
    <row r="209" spans="1:25" ht="12.75" customHeight="1" x14ac:dyDescent="0.25">
      <c r="A209" s="2"/>
      <c r="B209" s="9"/>
      <c r="C209" s="64" t="s">
        <v>427</v>
      </c>
      <c r="D209" s="73" t="s">
        <v>905</v>
      </c>
      <c r="E209" s="64">
        <v>1</v>
      </c>
      <c r="F209" s="71" t="s">
        <v>42</v>
      </c>
      <c r="G209" s="59">
        <f t="shared" si="7"/>
        <v>1.4285714285714286E-11</v>
      </c>
      <c r="H209" s="60" t="str">
        <f t="shared" si="8"/>
        <v>kg</v>
      </c>
      <c r="I209" s="422">
        <f t="shared" si="9"/>
        <v>1.4285714285714286E-11</v>
      </c>
      <c r="J209" s="64"/>
      <c r="K209" s="61"/>
      <c r="L209" s="58"/>
      <c r="M209" s="423" t="s">
        <v>707</v>
      </c>
      <c r="N209" s="500" t="s">
        <v>84</v>
      </c>
      <c r="O209" s="500"/>
      <c r="P209" s="500"/>
      <c r="Q209" s="2"/>
      <c r="R209" s="2"/>
      <c r="S209" s="2"/>
      <c r="T209" s="2"/>
      <c r="U209" s="2"/>
      <c r="V209" s="2"/>
      <c r="W209" s="2"/>
      <c r="X209" s="32"/>
      <c r="Y209" s="32"/>
    </row>
    <row r="210" spans="1:25" ht="12.75" customHeight="1" x14ac:dyDescent="0.25">
      <c r="A210" s="2"/>
      <c r="B210" s="9"/>
      <c r="C210" s="64" t="s">
        <v>536</v>
      </c>
      <c r="D210" s="73" t="s">
        <v>912</v>
      </c>
      <c r="E210" s="64">
        <v>1</v>
      </c>
      <c r="F210" s="71" t="s">
        <v>42</v>
      </c>
      <c r="G210" s="59">
        <f t="shared" si="7"/>
        <v>0.30612244897959184</v>
      </c>
      <c r="H210" s="60" t="str">
        <f t="shared" si="8"/>
        <v>kg</v>
      </c>
      <c r="I210" s="422">
        <f t="shared" si="9"/>
        <v>0.30612244897959184</v>
      </c>
      <c r="J210" s="64"/>
      <c r="K210" s="61"/>
      <c r="L210" s="58"/>
      <c r="M210" s="425" t="s">
        <v>680</v>
      </c>
      <c r="N210" s="500" t="s">
        <v>94</v>
      </c>
      <c r="O210" s="500"/>
      <c r="P210" s="500"/>
      <c r="Q210" s="2"/>
      <c r="R210" s="2"/>
      <c r="S210" s="2"/>
      <c r="T210" s="2"/>
      <c r="U210" s="2"/>
      <c r="V210" s="2"/>
      <c r="W210" s="2"/>
      <c r="X210" s="32"/>
      <c r="Y210" s="32"/>
    </row>
    <row r="211" spans="1:25" x14ac:dyDescent="0.25">
      <c r="A211" s="2"/>
      <c r="B211" s="9"/>
      <c r="C211" s="64" t="s">
        <v>553</v>
      </c>
      <c r="D211" s="73" t="s">
        <v>894</v>
      </c>
      <c r="E211" s="64">
        <v>1</v>
      </c>
      <c r="F211" s="71" t="s">
        <v>42</v>
      </c>
      <c r="G211" s="59">
        <f t="shared" si="7"/>
        <v>1.5542857142857143E-6</v>
      </c>
      <c r="H211" s="60" t="str">
        <f t="shared" si="8"/>
        <v>kg</v>
      </c>
      <c r="I211" s="422">
        <f t="shared" si="9"/>
        <v>1.5542857142857143E-6</v>
      </c>
      <c r="J211" s="64"/>
      <c r="K211" s="61"/>
      <c r="L211" s="58"/>
      <c r="M211" s="425" t="s">
        <v>715</v>
      </c>
      <c r="N211" s="500" t="s">
        <v>93</v>
      </c>
      <c r="O211" s="500"/>
      <c r="P211" s="500"/>
      <c r="Q211" s="2"/>
      <c r="R211" s="2"/>
      <c r="S211" s="2"/>
      <c r="T211" s="2"/>
      <c r="U211" s="2"/>
      <c r="V211" s="2"/>
      <c r="W211" s="2"/>
      <c r="X211" s="32"/>
      <c r="Y211" s="32"/>
    </row>
    <row r="212" spans="1:25" x14ac:dyDescent="0.25">
      <c r="A212" s="2"/>
      <c r="B212" s="9"/>
      <c r="C212" s="64" t="s">
        <v>555</v>
      </c>
      <c r="D212" s="73" t="s">
        <v>907</v>
      </c>
      <c r="E212" s="64">
        <v>1</v>
      </c>
      <c r="F212" s="71" t="s">
        <v>42</v>
      </c>
      <c r="G212" s="59">
        <f t="shared" si="7"/>
        <v>9.7142857142857165E-5</v>
      </c>
      <c r="H212" s="60" t="str">
        <f t="shared" si="8"/>
        <v>kg</v>
      </c>
      <c r="I212" s="422">
        <f t="shared" si="9"/>
        <v>9.7142857142857165E-5</v>
      </c>
      <c r="J212" s="64"/>
      <c r="K212" s="61"/>
      <c r="L212" s="58"/>
      <c r="M212" s="425" t="s">
        <v>715</v>
      </c>
      <c r="N212" s="500" t="s">
        <v>93</v>
      </c>
      <c r="O212" s="500"/>
      <c r="P212" s="500"/>
      <c r="Q212" s="2"/>
      <c r="R212" s="2"/>
      <c r="S212" s="2"/>
      <c r="T212" s="2"/>
      <c r="U212" s="2"/>
      <c r="V212" s="2"/>
      <c r="W212" s="2"/>
      <c r="X212" s="32"/>
      <c r="Y212" s="32"/>
    </row>
    <row r="213" spans="1:25" x14ac:dyDescent="0.25">
      <c r="A213" s="2"/>
      <c r="B213" s="9"/>
      <c r="C213" s="64" t="s">
        <v>557</v>
      </c>
      <c r="D213" s="73" t="s">
        <v>906</v>
      </c>
      <c r="E213" s="64">
        <v>1</v>
      </c>
      <c r="F213" s="71" t="s">
        <v>42</v>
      </c>
      <c r="G213" s="59">
        <f t="shared" si="7"/>
        <v>2.914285714285715E-4</v>
      </c>
      <c r="H213" s="60" t="str">
        <f t="shared" si="8"/>
        <v>kg</v>
      </c>
      <c r="I213" s="422">
        <f t="shared" si="9"/>
        <v>2.914285714285715E-4</v>
      </c>
      <c r="J213" s="64"/>
      <c r="K213" s="61"/>
      <c r="L213" s="58"/>
      <c r="M213" s="425" t="s">
        <v>715</v>
      </c>
      <c r="N213" s="500" t="s">
        <v>93</v>
      </c>
      <c r="O213" s="500"/>
      <c r="P213" s="500"/>
      <c r="Q213" s="2"/>
      <c r="R213" s="2"/>
      <c r="S213" s="2"/>
      <c r="T213" s="2"/>
      <c r="U213" s="2"/>
      <c r="V213" s="2"/>
      <c r="W213" s="2"/>
      <c r="X213" s="32"/>
      <c r="Y213" s="32"/>
    </row>
    <row r="214" spans="1:25" x14ac:dyDescent="0.25">
      <c r="A214" s="2"/>
      <c r="B214" s="9"/>
      <c r="C214" s="64" t="s">
        <v>564</v>
      </c>
      <c r="D214" s="73" t="s">
        <v>908</v>
      </c>
      <c r="E214" s="64">
        <v>1</v>
      </c>
      <c r="F214" s="71" t="s">
        <v>42</v>
      </c>
      <c r="G214" s="59">
        <f t="shared" si="7"/>
        <v>4.8571428571428583E-5</v>
      </c>
      <c r="H214" s="60" t="str">
        <f t="shared" si="8"/>
        <v>kg</v>
      </c>
      <c r="I214" s="422">
        <f t="shared" si="9"/>
        <v>4.8571428571428583E-5</v>
      </c>
      <c r="J214" s="64"/>
      <c r="K214" s="61"/>
      <c r="L214" s="58"/>
      <c r="M214" s="425" t="s">
        <v>715</v>
      </c>
      <c r="N214" s="500" t="s">
        <v>93</v>
      </c>
      <c r="O214" s="500"/>
      <c r="P214" s="500"/>
      <c r="Q214" s="2"/>
      <c r="R214" s="2"/>
      <c r="S214" s="2"/>
      <c r="T214" s="2"/>
      <c r="U214" s="2"/>
      <c r="V214" s="2"/>
      <c r="W214" s="2"/>
      <c r="X214" s="32"/>
      <c r="Y214" s="32"/>
    </row>
    <row r="215" spans="1:25" ht="12.75" customHeight="1" x14ac:dyDescent="0.25">
      <c r="A215" s="2"/>
      <c r="B215" s="9"/>
      <c r="C215" s="64" t="s">
        <v>939</v>
      </c>
      <c r="D215" s="73" t="s">
        <v>887</v>
      </c>
      <c r="E215" s="64">
        <v>1</v>
      </c>
      <c r="F215" s="71" t="s">
        <v>42</v>
      </c>
      <c r="G215" s="59">
        <f t="shared" si="7"/>
        <v>7.0327334563560138</v>
      </c>
      <c r="H215" s="60" t="str">
        <f t="shared" si="8"/>
        <v>kg</v>
      </c>
      <c r="I215" s="422">
        <f t="shared" si="9"/>
        <v>7.0327334563560138</v>
      </c>
      <c r="J215" s="64"/>
      <c r="K215" s="61"/>
      <c r="L215" s="58"/>
      <c r="M215" s="425" t="s">
        <v>715</v>
      </c>
      <c r="N215" s="501" t="s">
        <v>914</v>
      </c>
      <c r="O215" s="502"/>
      <c r="P215" s="503"/>
      <c r="Q215" s="2"/>
      <c r="R215" s="2"/>
      <c r="S215" s="2"/>
      <c r="T215" s="2"/>
      <c r="U215" s="2"/>
      <c r="V215" s="2"/>
      <c r="W215" s="2"/>
      <c r="X215" s="32"/>
      <c r="Y215" s="32"/>
    </row>
    <row r="216" spans="1:25" x14ac:dyDescent="0.25">
      <c r="A216" s="2"/>
      <c r="B216" s="9"/>
      <c r="C216" s="66" t="s">
        <v>66</v>
      </c>
      <c r="D216" s="74" t="s">
        <v>67</v>
      </c>
      <c r="E216" s="67" t="s">
        <v>77</v>
      </c>
      <c r="F216" s="50"/>
      <c r="G216" s="75"/>
      <c r="H216" s="76"/>
      <c r="I216" s="76"/>
      <c r="J216" s="50"/>
      <c r="K216" s="67"/>
      <c r="L216" s="50" t="s">
        <v>79</v>
      </c>
      <c r="M216" s="68"/>
      <c r="N216" s="499"/>
      <c r="O216" s="499"/>
      <c r="P216" s="499"/>
      <c r="Q216" s="2"/>
      <c r="R216" s="2"/>
      <c r="S216" s="2"/>
      <c r="T216" s="2"/>
      <c r="U216" s="2"/>
      <c r="V216" s="2"/>
      <c r="W216" s="2"/>
      <c r="X216" s="32"/>
      <c r="Y216" s="32"/>
    </row>
    <row r="217" spans="1:25" x14ac:dyDescent="0.25">
      <c r="A217" s="2"/>
      <c r="B217" s="9"/>
      <c r="C217" s="2"/>
      <c r="D217" s="2"/>
      <c r="E217" s="2"/>
      <c r="F217" s="2"/>
      <c r="G217" s="2"/>
      <c r="H217" s="2"/>
      <c r="I217" s="2"/>
      <c r="J217" s="2"/>
      <c r="K217" s="2"/>
      <c r="L217" s="2"/>
      <c r="M217" s="2"/>
      <c r="N217" s="2"/>
      <c r="O217" s="2"/>
      <c r="P217" s="2"/>
      <c r="Q217" s="2"/>
      <c r="R217" s="2"/>
      <c r="S217" s="2"/>
      <c r="T217" s="2"/>
      <c r="U217" s="2"/>
      <c r="V217" s="2"/>
      <c r="W217" s="2"/>
      <c r="X217" s="32"/>
      <c r="Y217" s="32"/>
    </row>
    <row r="218" spans="1:25" x14ac:dyDescent="0.25">
      <c r="A218" s="2"/>
      <c r="B218" s="9"/>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5">
      <c r="A219" s="2"/>
      <c r="B219" s="9"/>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5">
      <c r="A220" s="2"/>
      <c r="B220" s="9"/>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5">
      <c r="A221" s="2"/>
      <c r="B221" s="9"/>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5">
      <c r="A222" s="2"/>
      <c r="B222" s="9"/>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5">
      <c r="A223" s="2"/>
      <c r="B223" s="9"/>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5">
      <c r="A224" s="2"/>
      <c r="B224" s="9"/>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5">
      <c r="A225" s="2"/>
      <c r="B225" s="9"/>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5">
      <c r="A226" s="2"/>
      <c r="B226" s="9"/>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5">
      <c r="A227" s="2"/>
      <c r="B227" s="9"/>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5">
      <c r="A228" s="2"/>
      <c r="B228" s="9"/>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5">
      <c r="A229" s="2"/>
      <c r="B229" s="9"/>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5">
      <c r="A230" s="2"/>
      <c r="B230" s="9"/>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5">
      <c r="A231" s="2"/>
      <c r="B231" s="9"/>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5">
      <c r="A232" s="2"/>
      <c r="B232" s="9"/>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5">
      <c r="A233" s="2"/>
      <c r="B233" s="9"/>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5">
      <c r="A234" s="2"/>
      <c r="B234" s="9"/>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5">
      <c r="A235" s="2"/>
      <c r="B235" s="9"/>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5">
      <c r="A236" s="2"/>
      <c r="B236" s="9"/>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5">
      <c r="A237" s="2"/>
      <c r="B237" s="9"/>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5">
      <c r="A238" s="2"/>
      <c r="B238" s="9"/>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5">
      <c r="A239" s="2"/>
      <c r="B239" s="9"/>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5">
      <c r="A240" s="2"/>
      <c r="B240" s="9"/>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5">
      <c r="A241" s="2"/>
      <c r="B241" s="9"/>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5">
      <c r="A242" s="2"/>
      <c r="B242" s="9"/>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5">
      <c r="A243" s="2"/>
      <c r="B243" s="9"/>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5">
      <c r="A244" s="2"/>
      <c r="B244" s="9"/>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5">
      <c r="A245" s="2"/>
      <c r="B245" s="9"/>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5">
      <c r="A246" s="2"/>
      <c r="B246" s="9"/>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5">
      <c r="A247" s="2"/>
      <c r="B247" s="9"/>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5">
      <c r="A248" s="2"/>
      <c r="B248" s="9"/>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5">
      <c r="A249" s="2"/>
      <c r="B249" s="9"/>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5">
      <c r="A250" s="2"/>
      <c r="B250" s="9"/>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5">
      <c r="A251" s="2"/>
      <c r="B251" s="9"/>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5">
      <c r="A252" s="2"/>
      <c r="B252" s="9"/>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5">
      <c r="A253" s="2"/>
      <c r="B253" s="9"/>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5">
      <c r="A254" s="2"/>
      <c r="B254" s="9"/>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5">
      <c r="A255" s="2"/>
      <c r="B255" s="9"/>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5">
      <c r="A256" s="2"/>
      <c r="B256" s="9"/>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5">
      <c r="A257" s="2"/>
      <c r="B257" s="9"/>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5">
      <c r="A258" s="2"/>
      <c r="B258" s="9"/>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5">
      <c r="A259" s="2"/>
      <c r="B259" s="9"/>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5">
      <c r="A260" s="2"/>
      <c r="B260" s="9"/>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5">
      <c r="A261" s="2"/>
      <c r="B261" s="9"/>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5">
      <c r="A262" s="2"/>
      <c r="B262" s="9"/>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5">
      <c r="A263" s="2"/>
      <c r="B263" s="9"/>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5">
      <c r="A264" s="2"/>
      <c r="B264" s="9"/>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5">
      <c r="A265" s="2"/>
      <c r="B265" s="9"/>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5">
      <c r="A266" s="2"/>
      <c r="B266" s="9"/>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5">
      <c r="A267" s="2"/>
      <c r="B267" s="9"/>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5">
      <c r="A268" s="2"/>
      <c r="B268" s="9"/>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5">
      <c r="A269" s="2"/>
      <c r="B269" s="9"/>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5">
      <c r="A270" s="2"/>
      <c r="B270" s="9"/>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5">
      <c r="A271" s="2"/>
      <c r="B271" s="9"/>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5">
      <c r="A272" s="2"/>
      <c r="B272" s="77" t="s">
        <v>95</v>
      </c>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5">
      <c r="A273" s="9"/>
      <c r="B273" s="9"/>
      <c r="C273" s="9" t="s">
        <v>96</v>
      </c>
      <c r="D273" s="9" t="s">
        <v>97</v>
      </c>
      <c r="E273" s="9" t="s">
        <v>98</v>
      </c>
      <c r="F273" s="9"/>
      <c r="G273" s="9"/>
      <c r="H273" s="9" t="s">
        <v>76</v>
      </c>
      <c r="I273" s="9"/>
      <c r="J273" s="9" t="s">
        <v>75</v>
      </c>
      <c r="K273" s="9"/>
      <c r="L273" s="9"/>
      <c r="M273" s="9"/>
      <c r="N273" s="9"/>
      <c r="O273" s="9"/>
      <c r="P273" s="9"/>
      <c r="Q273" s="9"/>
      <c r="R273" s="9"/>
      <c r="S273" s="9"/>
      <c r="T273" s="9"/>
      <c r="U273" s="9"/>
      <c r="V273" s="9"/>
      <c r="W273" s="9"/>
      <c r="X273" s="9"/>
      <c r="Y273" s="9"/>
    </row>
    <row r="274" spans="1:25" x14ac:dyDescent="0.25">
      <c r="A274" s="2"/>
      <c r="B274" s="9"/>
      <c r="C274" s="78" t="s">
        <v>79</v>
      </c>
      <c r="D274" s="78" t="s">
        <v>79</v>
      </c>
      <c r="E274" s="78" t="s">
        <v>79</v>
      </c>
      <c r="F274" s="2"/>
      <c r="G274" s="2"/>
      <c r="H274" s="78" t="s">
        <v>79</v>
      </c>
      <c r="I274" s="2"/>
      <c r="J274" s="2"/>
      <c r="K274" s="2"/>
      <c r="L274" s="2"/>
      <c r="M274" s="2"/>
      <c r="N274" s="2"/>
      <c r="O274" s="2"/>
      <c r="P274" s="2"/>
      <c r="Q274" s="2"/>
      <c r="R274" s="2"/>
      <c r="S274" s="2"/>
      <c r="T274" s="2"/>
      <c r="U274" s="2"/>
      <c r="V274" s="2"/>
      <c r="W274" s="2"/>
      <c r="X274" s="2"/>
      <c r="Y274" s="2"/>
    </row>
    <row r="275" spans="1:25" x14ac:dyDescent="0.25">
      <c r="A275" s="2"/>
      <c r="B275" s="9"/>
      <c r="C275" s="18" t="s">
        <v>99</v>
      </c>
      <c r="D275" s="2" t="s">
        <v>100</v>
      </c>
      <c r="E275" s="2" t="s">
        <v>101</v>
      </c>
      <c r="F275" s="2"/>
      <c r="G275" s="2"/>
      <c r="H275" s="2" t="s">
        <v>102</v>
      </c>
      <c r="I275" s="2"/>
      <c r="J275" s="2" t="s">
        <v>103</v>
      </c>
      <c r="K275" s="2"/>
      <c r="L275" s="2"/>
      <c r="M275" s="2"/>
      <c r="N275" s="2"/>
      <c r="O275" s="2"/>
      <c r="P275" s="2"/>
      <c r="Q275" s="2"/>
      <c r="R275" s="2"/>
      <c r="S275" s="2"/>
      <c r="T275" s="2"/>
      <c r="U275" s="2"/>
      <c r="V275" s="2"/>
      <c r="W275" s="2"/>
      <c r="X275" s="2"/>
      <c r="Y275" s="2"/>
    </row>
    <row r="276" spans="1:25" x14ac:dyDescent="0.25">
      <c r="A276" s="2"/>
      <c r="B276" s="9"/>
      <c r="C276" s="2" t="s">
        <v>104</v>
      </c>
      <c r="D276" s="2" t="s">
        <v>105</v>
      </c>
      <c r="E276" s="2" t="s">
        <v>106</v>
      </c>
      <c r="F276" s="2"/>
      <c r="G276" s="2"/>
      <c r="H276" s="2" t="s">
        <v>107</v>
      </c>
      <c r="I276" s="2"/>
      <c r="J276" s="2" t="s">
        <v>108</v>
      </c>
      <c r="K276" s="2"/>
      <c r="L276" s="2"/>
      <c r="M276" s="2"/>
      <c r="N276" s="2"/>
      <c r="O276" s="2"/>
      <c r="P276" s="2"/>
      <c r="Q276" s="2"/>
      <c r="R276" s="2"/>
      <c r="S276" s="2"/>
      <c r="T276" s="2"/>
      <c r="U276" s="2"/>
      <c r="V276" s="2"/>
      <c r="W276" s="2"/>
      <c r="X276" s="2"/>
      <c r="Y276" s="2"/>
    </row>
    <row r="277" spans="1:25" x14ac:dyDescent="0.25">
      <c r="A277" s="2"/>
      <c r="B277" s="9"/>
      <c r="C277" s="2" t="s">
        <v>109</v>
      </c>
      <c r="D277" s="2" t="s">
        <v>110</v>
      </c>
      <c r="E277" s="2" t="s">
        <v>111</v>
      </c>
      <c r="F277" s="2"/>
      <c r="G277" s="2"/>
      <c r="H277" s="2" t="s">
        <v>112</v>
      </c>
      <c r="I277" s="2"/>
      <c r="J277" s="2"/>
      <c r="K277" s="2"/>
      <c r="L277" s="2"/>
      <c r="M277" s="2"/>
      <c r="N277" s="2"/>
      <c r="O277" s="2"/>
      <c r="P277" s="2"/>
      <c r="Q277" s="2"/>
      <c r="R277" s="2"/>
      <c r="S277" s="2"/>
      <c r="T277" s="2"/>
      <c r="U277" s="2"/>
      <c r="V277" s="2"/>
      <c r="W277" s="2"/>
      <c r="X277" s="2"/>
      <c r="Y277" s="2"/>
    </row>
    <row r="278" spans="1:25" x14ac:dyDescent="0.25">
      <c r="A278" s="2"/>
      <c r="B278" s="9"/>
      <c r="C278" s="2" t="s">
        <v>113</v>
      </c>
      <c r="D278" s="2" t="s">
        <v>114</v>
      </c>
      <c r="E278" s="2" t="s">
        <v>115</v>
      </c>
      <c r="F278" s="2"/>
      <c r="G278" s="2"/>
      <c r="H278" s="2" t="s">
        <v>116</v>
      </c>
      <c r="I278" s="2"/>
      <c r="J278" s="2"/>
      <c r="K278" s="2"/>
      <c r="L278" s="2"/>
      <c r="M278" s="2"/>
      <c r="N278" s="2"/>
      <c r="O278" s="2"/>
      <c r="P278" s="2"/>
      <c r="Q278" s="2"/>
      <c r="R278" s="2"/>
      <c r="S278" s="2"/>
      <c r="T278" s="2"/>
      <c r="U278" s="2"/>
      <c r="V278" s="2"/>
      <c r="W278" s="2"/>
      <c r="X278" s="2"/>
      <c r="Y278" s="2"/>
    </row>
    <row r="279" spans="1:25" x14ac:dyDescent="0.25">
      <c r="A279" s="2"/>
      <c r="B279" s="9"/>
      <c r="C279" s="2" t="s">
        <v>117</v>
      </c>
      <c r="D279" s="2"/>
      <c r="E279" s="2" t="s">
        <v>118</v>
      </c>
      <c r="F279" s="2"/>
      <c r="G279" s="2"/>
      <c r="H279" s="2" t="s">
        <v>118</v>
      </c>
      <c r="I279" s="2"/>
      <c r="J279" s="2"/>
      <c r="K279" s="2"/>
      <c r="L279" s="2"/>
      <c r="M279" s="2"/>
      <c r="N279" s="2"/>
      <c r="O279" s="2"/>
      <c r="P279" s="2"/>
      <c r="Q279" s="2"/>
      <c r="R279" s="2"/>
      <c r="S279" s="2"/>
      <c r="T279" s="2"/>
      <c r="U279" s="2"/>
      <c r="V279" s="2"/>
      <c r="W279" s="2"/>
      <c r="X279" s="2"/>
      <c r="Y279" s="2"/>
    </row>
    <row r="280" spans="1:25" x14ac:dyDescent="0.25">
      <c r="A280" s="2"/>
      <c r="B280" s="9"/>
      <c r="C280" s="2" t="s">
        <v>119</v>
      </c>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5">
      <c r="A281" s="2"/>
      <c r="B281" s="9"/>
      <c r="C281" s="2" t="s">
        <v>120</v>
      </c>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5">
      <c r="A282" s="2"/>
      <c r="B282" s="9"/>
      <c r="C282" s="2" t="s">
        <v>121</v>
      </c>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5">
      <c r="A283" s="2"/>
      <c r="B283" s="9"/>
      <c r="C283" s="18" t="s">
        <v>122</v>
      </c>
      <c r="D283" s="2"/>
      <c r="E283" s="2"/>
      <c r="F283" s="2"/>
      <c r="G283" s="2"/>
      <c r="H283" s="2"/>
      <c r="I283" s="2"/>
      <c r="J283" s="2"/>
      <c r="K283" s="2"/>
      <c r="L283" s="2"/>
      <c r="M283" s="2"/>
      <c r="N283" s="2"/>
      <c r="O283" s="2"/>
      <c r="P283" s="2"/>
      <c r="Q283" s="2"/>
      <c r="R283" s="2"/>
      <c r="S283" s="2"/>
      <c r="T283" s="2"/>
      <c r="U283" s="2"/>
      <c r="V283" s="2"/>
      <c r="W283" s="2"/>
      <c r="X283" s="2"/>
      <c r="Y283" s="2"/>
    </row>
  </sheetData>
  <sheetProtection formatCells="0" formatRows="0" insertRows="0" insertHyperlinks="0" deleteRows="0" selectLockedCells="1"/>
  <mergeCells count="216">
    <mergeCell ref="J50:P50"/>
    <mergeCell ref="J51:P51"/>
    <mergeCell ref="J52:P52"/>
    <mergeCell ref="J164:P164"/>
    <mergeCell ref="J41:P41"/>
    <mergeCell ref="J42:P42"/>
    <mergeCell ref="J43:P43"/>
    <mergeCell ref="J44:P44"/>
    <mergeCell ref="J45:P45"/>
    <mergeCell ref="J46:P46"/>
    <mergeCell ref="J47:P47"/>
    <mergeCell ref="J48:P48"/>
    <mergeCell ref="J49:P49"/>
    <mergeCell ref="J160:P160"/>
    <mergeCell ref="J161:P161"/>
    <mergeCell ref="J162:P162"/>
    <mergeCell ref="J158:P158"/>
    <mergeCell ref="J159:P159"/>
    <mergeCell ref="J153:P153"/>
    <mergeCell ref="J154:P154"/>
    <mergeCell ref="J155:P155"/>
    <mergeCell ref="J156:P156"/>
    <mergeCell ref="J157:P157"/>
    <mergeCell ref="J148:P148"/>
    <mergeCell ref="J32:P32"/>
    <mergeCell ref="J33:P33"/>
    <mergeCell ref="J34:P34"/>
    <mergeCell ref="J35:P35"/>
    <mergeCell ref="J36:P36"/>
    <mergeCell ref="J37:P37"/>
    <mergeCell ref="J38:P38"/>
    <mergeCell ref="J39:P39"/>
    <mergeCell ref="J40:P40"/>
    <mergeCell ref="J23:P23"/>
    <mergeCell ref="J24:P24"/>
    <mergeCell ref="J25:P25"/>
    <mergeCell ref="J26:P26"/>
    <mergeCell ref="J27:P27"/>
    <mergeCell ref="J28:P28"/>
    <mergeCell ref="J29:P29"/>
    <mergeCell ref="J30:P30"/>
    <mergeCell ref="J31:P31"/>
    <mergeCell ref="N189:P189"/>
    <mergeCell ref="N179:P179"/>
    <mergeCell ref="N180:P180"/>
    <mergeCell ref="N181:P181"/>
    <mergeCell ref="N182:P182"/>
    <mergeCell ref="J163:P163"/>
    <mergeCell ref="N187:P187"/>
    <mergeCell ref="N170:P170"/>
    <mergeCell ref="N171:P171"/>
    <mergeCell ref="N172:P172"/>
    <mergeCell ref="N173:P173"/>
    <mergeCell ref="N174:P174"/>
    <mergeCell ref="N175:P175"/>
    <mergeCell ref="N176:P176"/>
    <mergeCell ref="N177:P177"/>
    <mergeCell ref="N178:P178"/>
    <mergeCell ref="N183:P183"/>
    <mergeCell ref="B185:P185"/>
    <mergeCell ref="N169:P169"/>
    <mergeCell ref="B167:P167"/>
    <mergeCell ref="J149:P149"/>
    <mergeCell ref="J150:P150"/>
    <mergeCell ref="J151:P151"/>
    <mergeCell ref="J152:P152"/>
    <mergeCell ref="J143:P143"/>
    <mergeCell ref="J144:P144"/>
    <mergeCell ref="J145:P145"/>
    <mergeCell ref="J146:P146"/>
    <mergeCell ref="J147:P147"/>
    <mergeCell ref="J138:P138"/>
    <mergeCell ref="J139:P139"/>
    <mergeCell ref="J140:P140"/>
    <mergeCell ref="J141:P141"/>
    <mergeCell ref="J142:P142"/>
    <mergeCell ref="J133:P133"/>
    <mergeCell ref="J134:P134"/>
    <mergeCell ref="J135:P135"/>
    <mergeCell ref="J136:P136"/>
    <mergeCell ref="J137:P137"/>
    <mergeCell ref="J128:P128"/>
    <mergeCell ref="J129:P129"/>
    <mergeCell ref="J130:P130"/>
    <mergeCell ref="J131:P131"/>
    <mergeCell ref="J132:P132"/>
    <mergeCell ref="J123:P123"/>
    <mergeCell ref="J124:P124"/>
    <mergeCell ref="J125:P125"/>
    <mergeCell ref="J126:P126"/>
    <mergeCell ref="J127:P127"/>
    <mergeCell ref="J118:P118"/>
    <mergeCell ref="J119:P119"/>
    <mergeCell ref="J120:P120"/>
    <mergeCell ref="J121:P121"/>
    <mergeCell ref="J122:P122"/>
    <mergeCell ref="J99:P99"/>
    <mergeCell ref="J100:P100"/>
    <mergeCell ref="J113:P113"/>
    <mergeCell ref="J114:P114"/>
    <mergeCell ref="J105:P105"/>
    <mergeCell ref="J115:P115"/>
    <mergeCell ref="J116:P116"/>
    <mergeCell ref="J117:P117"/>
    <mergeCell ref="J108:P108"/>
    <mergeCell ref="J109:P109"/>
    <mergeCell ref="J110:P110"/>
    <mergeCell ref="J111:P111"/>
    <mergeCell ref="J112:P112"/>
    <mergeCell ref="J69:P69"/>
    <mergeCell ref="J70:P70"/>
    <mergeCell ref="J81:P81"/>
    <mergeCell ref="J82:P82"/>
    <mergeCell ref="J83:P83"/>
    <mergeCell ref="J84:P84"/>
    <mergeCell ref="J85:P85"/>
    <mergeCell ref="J76:P76"/>
    <mergeCell ref="J77:P77"/>
    <mergeCell ref="J78:P78"/>
    <mergeCell ref="J79:P79"/>
    <mergeCell ref="J80:P80"/>
    <mergeCell ref="N211:P211"/>
    <mergeCell ref="N200:P200"/>
    <mergeCell ref="N188:P188"/>
    <mergeCell ref="N190:P190"/>
    <mergeCell ref="J71:P71"/>
    <mergeCell ref="J72:P72"/>
    <mergeCell ref="J73:P73"/>
    <mergeCell ref="J74:P74"/>
    <mergeCell ref="J75:P75"/>
    <mergeCell ref="J91:P91"/>
    <mergeCell ref="J95:P95"/>
    <mergeCell ref="J86:P86"/>
    <mergeCell ref="J87:P87"/>
    <mergeCell ref="J88:P88"/>
    <mergeCell ref="J89:P89"/>
    <mergeCell ref="J90:P90"/>
    <mergeCell ref="J101:P101"/>
    <mergeCell ref="J102:P102"/>
    <mergeCell ref="J103:P103"/>
    <mergeCell ref="J106:P106"/>
    <mergeCell ref="J107:P107"/>
    <mergeCell ref="J96:P96"/>
    <mergeCell ref="J97:P97"/>
    <mergeCell ref="J98:P98"/>
    <mergeCell ref="N216:P216"/>
    <mergeCell ref="N213:P213"/>
    <mergeCell ref="N214:P214"/>
    <mergeCell ref="N215:P215"/>
    <mergeCell ref="N191:P191"/>
    <mergeCell ref="N192:P192"/>
    <mergeCell ref="N193:P193"/>
    <mergeCell ref="N194:P194"/>
    <mergeCell ref="N195:P195"/>
    <mergeCell ref="N196:P196"/>
    <mergeCell ref="N197:P197"/>
    <mergeCell ref="N198:P198"/>
    <mergeCell ref="N199:P199"/>
    <mergeCell ref="N212:P212"/>
    <mergeCell ref="N201:P201"/>
    <mergeCell ref="N202:P202"/>
    <mergeCell ref="N203:P203"/>
    <mergeCell ref="N204:P204"/>
    <mergeCell ref="N205:P205"/>
    <mergeCell ref="N206:P206"/>
    <mergeCell ref="N207:P207"/>
    <mergeCell ref="N208:P208"/>
    <mergeCell ref="N209:P209"/>
    <mergeCell ref="N210:P210"/>
    <mergeCell ref="B17:C17"/>
    <mergeCell ref="D17:E17"/>
    <mergeCell ref="B20:P20"/>
    <mergeCell ref="J22:P22"/>
    <mergeCell ref="J53:P53"/>
    <mergeCell ref="J54:P54"/>
    <mergeCell ref="J55:P55"/>
    <mergeCell ref="J59:P59"/>
    <mergeCell ref="J104:P104"/>
    <mergeCell ref="J56:P56"/>
    <mergeCell ref="J57:P57"/>
    <mergeCell ref="J58:P58"/>
    <mergeCell ref="J60:P60"/>
    <mergeCell ref="J61:P61"/>
    <mergeCell ref="J62:P62"/>
    <mergeCell ref="J63:P63"/>
    <mergeCell ref="J64:P64"/>
    <mergeCell ref="J65:P65"/>
    <mergeCell ref="J92:P92"/>
    <mergeCell ref="J93:P93"/>
    <mergeCell ref="J94:P94"/>
    <mergeCell ref="J66:P66"/>
    <mergeCell ref="J67:P67"/>
    <mergeCell ref="J68:P68"/>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170:H182 H188:H216">
    <cfRule type="cellIs" dxfId="6" priority="2" stopIfTrue="1" operator="equal">
      <formula>0</formula>
    </cfRule>
  </conditionalFormatting>
  <conditionalFormatting sqref="G170:G182 G188:G216">
    <cfRule type="cellIs" dxfId="5" priority="1" stopIfTrue="1" operator="equal">
      <formula>1</formula>
    </cfRule>
  </conditionalFormatting>
  <dataValidations disablePrompts="1" count="7">
    <dataValidation type="list" allowBlank="1" showInputMessage="1" showErrorMessage="1" sqref="L188:L215 L170:L182">
      <formula1>$H$274:$H$279</formula1>
    </dataValidation>
    <dataValidation type="list" allowBlank="1" showInputMessage="1" showErrorMessage="1" sqref="K188:K215 K170:K182">
      <formula1>$J$274:$J$276</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$C$274:$C$283</formula1>
    </dataValidation>
    <dataValidation type="list" allowBlank="1" showInputMessage="1" showErrorMessage="1" sqref="D14:E14">
      <formula1>$D$274:$D$278</formula1>
    </dataValidation>
    <dataValidation type="list" allowBlank="1" showInputMessage="1" showErrorMessage="1" sqref="D16:E16">
      <formula1>$E$274:$E$279</formula1>
    </dataValidation>
  </dataValidations>
  <pageMargins left="0.25" right="0.25" top="0.5" bottom="0.5" header="0.3" footer="0.3"/>
  <pageSetup paperSize="3" scale="59" fitToHeight="100" orientation="landscape" r:id="rId1"/>
  <headerFooter alignWithMargins="0">
    <oddFooter>Page &amp;P&amp;R&amp;F</oddFooter>
  </headerFooter>
  <ignoredErrors>
    <ignoredError sqref="F57:G57 G156 G141 G145 G143 G147:G148 G158" unlockedFormula="1"/>
  </ignoredErrors>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3</xdr:col>
                <xdr:colOff>4105275</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514" t="s">
        <v>13</v>
      </c>
      <c r="B1" s="514"/>
      <c r="C1" s="514"/>
      <c r="D1" s="514"/>
      <c r="E1" s="514"/>
      <c r="F1" s="514"/>
      <c r="G1" s="514"/>
      <c r="H1" s="514"/>
      <c r="I1" s="514"/>
      <c r="J1" s="514"/>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9"/>
      <c r="B2" s="79"/>
      <c r="C2" s="79"/>
      <c r="D2" s="79"/>
      <c r="E2" s="79"/>
      <c r="F2" s="79"/>
      <c r="G2" s="79"/>
      <c r="H2" s="79"/>
      <c r="I2" s="79"/>
      <c r="J2" s="79"/>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9"/>
      <c r="B3" s="515" t="s">
        <v>58</v>
      </c>
      <c r="C3" s="80" t="s">
        <v>123</v>
      </c>
      <c r="D3" s="517" t="s">
        <v>124</v>
      </c>
      <c r="E3" s="518"/>
      <c r="F3" s="519"/>
      <c r="G3" s="520" t="s">
        <v>125</v>
      </c>
      <c r="H3" s="79"/>
      <c r="I3" s="79"/>
      <c r="J3" s="79"/>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516"/>
      <c r="C4" s="81">
        <v>3</v>
      </c>
      <c r="D4" s="82">
        <v>1</v>
      </c>
      <c r="E4" s="83">
        <v>2</v>
      </c>
      <c r="F4" s="84">
        <v>3</v>
      </c>
      <c r="G4" s="521"/>
    </row>
    <row r="5" spans="1:38" ht="15" customHeight="1" x14ac:dyDescent="0.25">
      <c r="B5" s="516"/>
      <c r="C5" s="85" t="str">
        <f>D5</f>
        <v>NdFeB Permanent Magnet Manufacturing</v>
      </c>
      <c r="D5" s="522" t="str">
        <f>'Data Summary'!D4</f>
        <v>NdFeB Permanent Magnet Manufacturing</v>
      </c>
      <c r="E5" s="523"/>
      <c r="F5" s="524"/>
      <c r="G5" s="521"/>
    </row>
    <row r="6" spans="1:38" x14ac:dyDescent="0.25">
      <c r="B6" s="516"/>
      <c r="C6" s="86" t="str">
        <f>HLOOKUP($C$4,$D$4:$F$13,3,FALSE)</f>
        <v>Scenario 3 Name</v>
      </c>
      <c r="D6" s="87" t="s">
        <v>126</v>
      </c>
      <c r="E6" s="88" t="s">
        <v>127</v>
      </c>
      <c r="F6" s="89" t="s">
        <v>128</v>
      </c>
      <c r="G6" s="521"/>
    </row>
    <row r="7" spans="1:38" ht="15" customHeight="1" x14ac:dyDescent="0.25">
      <c r="B7" s="90" t="s">
        <v>129</v>
      </c>
      <c r="C7" s="91">
        <f>HLOOKUP($C$4,$D$4:$F$13,4,FALSE)</f>
        <v>0</v>
      </c>
      <c r="D7" s="92"/>
      <c r="E7" s="93"/>
      <c r="F7" s="94"/>
      <c r="G7" s="95" t="s">
        <v>130</v>
      </c>
    </row>
    <row r="8" spans="1:38" ht="15" customHeight="1" x14ac:dyDescent="0.25">
      <c r="B8" s="96" t="s">
        <v>131</v>
      </c>
      <c r="C8" s="97">
        <f>HLOOKUP($C$4,$D$4:$F$13,5,FALSE)</f>
        <v>0</v>
      </c>
      <c r="D8" s="98"/>
      <c r="E8" s="99"/>
      <c r="F8" s="100"/>
      <c r="G8" s="101"/>
    </row>
    <row r="9" spans="1:38" ht="15" customHeight="1" x14ac:dyDescent="0.25">
      <c r="B9" s="102"/>
      <c r="C9" s="103">
        <f>HLOOKUP($C$4,$D$4:$F$13,6,FALSE)</f>
        <v>0</v>
      </c>
      <c r="D9" s="104"/>
      <c r="E9" s="105"/>
      <c r="F9" s="106"/>
      <c r="G9" s="101"/>
    </row>
    <row r="10" spans="1:38" ht="15" customHeight="1" x14ac:dyDescent="0.25">
      <c r="B10" s="102"/>
      <c r="C10" s="103">
        <f>HLOOKUP($C$4,$D$4:$F$13,7,FALSE)</f>
        <v>0</v>
      </c>
      <c r="D10" s="104"/>
      <c r="E10" s="105"/>
      <c r="F10" s="106"/>
      <c r="G10" s="101"/>
    </row>
    <row r="11" spans="1:38" ht="15" customHeight="1" x14ac:dyDescent="0.25">
      <c r="B11" s="102"/>
      <c r="C11" s="107">
        <f>HLOOKUP($C$4,$D$4:$F$13,8,FALSE)</f>
        <v>0</v>
      </c>
      <c r="D11" s="108"/>
      <c r="E11" s="109"/>
      <c r="F11" s="110"/>
      <c r="G11" s="101"/>
    </row>
    <row r="12" spans="1:38" ht="15" customHeight="1" x14ac:dyDescent="0.25">
      <c r="B12" s="102"/>
      <c r="C12" s="107">
        <f>HLOOKUP($C$4,$D$4:$F$13,9,FALSE)</f>
        <v>0</v>
      </c>
      <c r="D12" s="108"/>
      <c r="E12" s="109"/>
      <c r="F12" s="110"/>
      <c r="G12" s="101"/>
    </row>
    <row r="13" spans="1:38" ht="15" customHeight="1" thickBot="1" x14ac:dyDescent="0.3">
      <c r="B13" s="111"/>
      <c r="C13" s="112">
        <f>HLOOKUP($C$4,$D$4:$F$13,10,FALSE)</f>
        <v>0</v>
      </c>
      <c r="D13" s="113"/>
      <c r="E13" s="114"/>
      <c r="F13" s="115"/>
      <c r="G13" s="116"/>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7" t="s">
        <v>132</v>
      </c>
    </row>
    <row r="20" spans="2:7" x14ac:dyDescent="0.25">
      <c r="B20" s="118" t="s">
        <v>124</v>
      </c>
      <c r="C20" s="525" t="s">
        <v>9</v>
      </c>
      <c r="D20" s="525"/>
      <c r="E20" s="525"/>
      <c r="F20" s="525"/>
      <c r="G20" s="525"/>
    </row>
    <row r="21" spans="2:7" ht="30" customHeight="1" x14ac:dyDescent="0.25">
      <c r="B21" s="119">
        <v>1</v>
      </c>
      <c r="C21" s="511" t="s">
        <v>133</v>
      </c>
      <c r="D21" s="511"/>
      <c r="E21" s="511"/>
      <c r="F21" s="511"/>
      <c r="G21" s="511"/>
    </row>
    <row r="22" spans="2:7" ht="30" customHeight="1" x14ac:dyDescent="0.25">
      <c r="B22" s="119">
        <v>2</v>
      </c>
      <c r="C22" s="512"/>
      <c r="D22" s="512"/>
      <c r="E22" s="512"/>
      <c r="F22" s="512"/>
      <c r="G22" s="512"/>
    </row>
    <row r="23" spans="2:7" ht="30" customHeight="1" x14ac:dyDescent="0.25">
      <c r="B23" s="120">
        <v>3</v>
      </c>
      <c r="C23" s="513"/>
      <c r="D23" s="513"/>
      <c r="E23" s="513"/>
      <c r="F23" s="513"/>
      <c r="G23" s="513"/>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heetViews>
  <sheetFormatPr defaultColWidth="36.85546875" defaultRowHeight="12.75" customHeight="1" x14ac:dyDescent="0.25"/>
  <cols>
    <col min="1" max="1" width="18.5703125" style="173" customWidth="1"/>
    <col min="2" max="2" width="31.42578125" style="172" customWidth="1"/>
    <col min="3" max="3" width="37.28515625" style="172" bestFit="1" customWidth="1"/>
    <col min="4" max="10" width="31.42578125" style="172" customWidth="1"/>
    <col min="11" max="27" width="36.85546875" style="172" customWidth="1"/>
    <col min="28" max="28" width="37" style="172" customWidth="1"/>
    <col min="29" max="35" width="36.85546875" style="172" customWidth="1"/>
    <col min="36" max="44" width="36.85546875" style="173" customWidth="1"/>
    <col min="45" max="45" width="37.140625" style="173" customWidth="1"/>
    <col min="46" max="47" width="36.85546875" style="173" customWidth="1"/>
    <col min="48" max="48" width="36.5703125" style="173" customWidth="1"/>
    <col min="49" max="50" width="36.85546875" style="173" customWidth="1"/>
    <col min="51" max="51" width="36.5703125" style="173" customWidth="1"/>
    <col min="52" max="52" width="37" style="173" customWidth="1"/>
    <col min="53" max="71" width="36.85546875" style="173" customWidth="1"/>
    <col min="72" max="72" width="37" style="173" customWidth="1"/>
    <col min="73" max="90" width="36.85546875" style="173" customWidth="1"/>
    <col min="91" max="91" width="36.5703125" style="173" customWidth="1"/>
    <col min="92" max="104" width="36.85546875" style="173" customWidth="1"/>
    <col min="105" max="105" width="36.5703125" style="173" customWidth="1"/>
    <col min="106" max="108" width="36.85546875" style="173" customWidth="1"/>
    <col min="109" max="109" width="36.5703125" style="173" customWidth="1"/>
    <col min="110" max="117" width="36.85546875" style="173" customWidth="1"/>
    <col min="118" max="118" width="36.5703125" style="173" customWidth="1"/>
    <col min="119" max="256" width="36.85546875" style="173"/>
    <col min="257" max="257" width="18.5703125" style="173" customWidth="1"/>
    <col min="258" max="266" width="31.42578125" style="173" customWidth="1"/>
    <col min="267" max="283" width="36.85546875" style="173" customWidth="1"/>
    <col min="284" max="284" width="37" style="173" customWidth="1"/>
    <col min="285" max="300" width="36.85546875" style="173" customWidth="1"/>
    <col min="301" max="301" width="37.140625" style="173" customWidth="1"/>
    <col min="302" max="303" width="36.85546875" style="173" customWidth="1"/>
    <col min="304" max="304" width="36.5703125" style="173" customWidth="1"/>
    <col min="305" max="306" width="36.85546875" style="173" customWidth="1"/>
    <col min="307" max="307" width="36.5703125" style="173" customWidth="1"/>
    <col min="308" max="308" width="37" style="173" customWidth="1"/>
    <col min="309" max="327" width="36.85546875" style="173" customWidth="1"/>
    <col min="328" max="328" width="37" style="173" customWidth="1"/>
    <col min="329" max="346" width="36.85546875" style="173" customWidth="1"/>
    <col min="347" max="347" width="36.5703125" style="173" customWidth="1"/>
    <col min="348" max="360" width="36.85546875" style="173" customWidth="1"/>
    <col min="361" max="361" width="36.5703125" style="173" customWidth="1"/>
    <col min="362" max="364" width="36.85546875" style="173" customWidth="1"/>
    <col min="365" max="365" width="36.5703125" style="173" customWidth="1"/>
    <col min="366" max="373" width="36.85546875" style="173" customWidth="1"/>
    <col min="374" max="374" width="36.5703125" style="173" customWidth="1"/>
    <col min="375" max="512" width="36.85546875" style="173"/>
    <col min="513" max="513" width="18.5703125" style="173" customWidth="1"/>
    <col min="514" max="522" width="31.42578125" style="173" customWidth="1"/>
    <col min="523" max="539" width="36.85546875" style="173" customWidth="1"/>
    <col min="540" max="540" width="37" style="173" customWidth="1"/>
    <col min="541" max="556" width="36.85546875" style="173" customWidth="1"/>
    <col min="557" max="557" width="37.140625" style="173" customWidth="1"/>
    <col min="558" max="559" width="36.85546875" style="173" customWidth="1"/>
    <col min="560" max="560" width="36.5703125" style="173" customWidth="1"/>
    <col min="561" max="562" width="36.85546875" style="173" customWidth="1"/>
    <col min="563" max="563" width="36.5703125" style="173" customWidth="1"/>
    <col min="564" max="564" width="37" style="173" customWidth="1"/>
    <col min="565" max="583" width="36.85546875" style="173" customWidth="1"/>
    <col min="584" max="584" width="37" style="173" customWidth="1"/>
    <col min="585" max="602" width="36.85546875" style="173" customWidth="1"/>
    <col min="603" max="603" width="36.5703125" style="173" customWidth="1"/>
    <col min="604" max="616" width="36.85546875" style="173" customWidth="1"/>
    <col min="617" max="617" width="36.5703125" style="173" customWidth="1"/>
    <col min="618" max="620" width="36.85546875" style="173" customWidth="1"/>
    <col min="621" max="621" width="36.5703125" style="173" customWidth="1"/>
    <col min="622" max="629" width="36.85546875" style="173" customWidth="1"/>
    <col min="630" max="630" width="36.5703125" style="173" customWidth="1"/>
    <col min="631" max="768" width="36.85546875" style="173"/>
    <col min="769" max="769" width="18.5703125" style="173" customWidth="1"/>
    <col min="770" max="778" width="31.42578125" style="173" customWidth="1"/>
    <col min="779" max="795" width="36.85546875" style="173" customWidth="1"/>
    <col min="796" max="796" width="37" style="173" customWidth="1"/>
    <col min="797" max="812" width="36.85546875" style="173" customWidth="1"/>
    <col min="813" max="813" width="37.140625" style="173" customWidth="1"/>
    <col min="814" max="815" width="36.85546875" style="173" customWidth="1"/>
    <col min="816" max="816" width="36.5703125" style="173" customWidth="1"/>
    <col min="817" max="818" width="36.85546875" style="173" customWidth="1"/>
    <col min="819" max="819" width="36.5703125" style="173" customWidth="1"/>
    <col min="820" max="820" width="37" style="173" customWidth="1"/>
    <col min="821" max="839" width="36.85546875" style="173" customWidth="1"/>
    <col min="840" max="840" width="37" style="173" customWidth="1"/>
    <col min="841" max="858" width="36.85546875" style="173" customWidth="1"/>
    <col min="859" max="859" width="36.5703125" style="173" customWidth="1"/>
    <col min="860" max="872" width="36.85546875" style="173" customWidth="1"/>
    <col min="873" max="873" width="36.5703125" style="173" customWidth="1"/>
    <col min="874" max="876" width="36.85546875" style="173" customWidth="1"/>
    <col min="877" max="877" width="36.5703125" style="173" customWidth="1"/>
    <col min="878" max="885" width="36.85546875" style="173" customWidth="1"/>
    <col min="886" max="886" width="36.5703125" style="173" customWidth="1"/>
    <col min="887" max="1024" width="36.85546875" style="173"/>
    <col min="1025" max="1025" width="18.5703125" style="173" customWidth="1"/>
    <col min="1026" max="1034" width="31.42578125" style="173" customWidth="1"/>
    <col min="1035" max="1051" width="36.85546875" style="173" customWidth="1"/>
    <col min="1052" max="1052" width="37" style="173" customWidth="1"/>
    <col min="1053" max="1068" width="36.85546875" style="173" customWidth="1"/>
    <col min="1069" max="1069" width="37.140625" style="173" customWidth="1"/>
    <col min="1070" max="1071" width="36.85546875" style="173" customWidth="1"/>
    <col min="1072" max="1072" width="36.5703125" style="173" customWidth="1"/>
    <col min="1073" max="1074" width="36.85546875" style="173" customWidth="1"/>
    <col min="1075" max="1075" width="36.5703125" style="173" customWidth="1"/>
    <col min="1076" max="1076" width="37" style="173" customWidth="1"/>
    <col min="1077" max="1095" width="36.85546875" style="173" customWidth="1"/>
    <col min="1096" max="1096" width="37" style="173" customWidth="1"/>
    <col min="1097" max="1114" width="36.85546875" style="173" customWidth="1"/>
    <col min="1115" max="1115" width="36.5703125" style="173" customWidth="1"/>
    <col min="1116" max="1128" width="36.85546875" style="173" customWidth="1"/>
    <col min="1129" max="1129" width="36.5703125" style="173" customWidth="1"/>
    <col min="1130" max="1132" width="36.85546875" style="173" customWidth="1"/>
    <col min="1133" max="1133" width="36.5703125" style="173" customWidth="1"/>
    <col min="1134" max="1141" width="36.85546875" style="173" customWidth="1"/>
    <col min="1142" max="1142" width="36.5703125" style="173" customWidth="1"/>
    <col min="1143" max="1280" width="36.85546875" style="173"/>
    <col min="1281" max="1281" width="18.5703125" style="173" customWidth="1"/>
    <col min="1282" max="1290" width="31.42578125" style="173" customWidth="1"/>
    <col min="1291" max="1307" width="36.85546875" style="173" customWidth="1"/>
    <col min="1308" max="1308" width="37" style="173" customWidth="1"/>
    <col min="1309" max="1324" width="36.85546875" style="173" customWidth="1"/>
    <col min="1325" max="1325" width="37.140625" style="173" customWidth="1"/>
    <col min="1326" max="1327" width="36.85546875" style="173" customWidth="1"/>
    <col min="1328" max="1328" width="36.5703125" style="173" customWidth="1"/>
    <col min="1329" max="1330" width="36.85546875" style="173" customWidth="1"/>
    <col min="1331" max="1331" width="36.5703125" style="173" customWidth="1"/>
    <col min="1332" max="1332" width="37" style="173" customWidth="1"/>
    <col min="1333" max="1351" width="36.85546875" style="173" customWidth="1"/>
    <col min="1352" max="1352" width="37" style="173" customWidth="1"/>
    <col min="1353" max="1370" width="36.85546875" style="173" customWidth="1"/>
    <col min="1371" max="1371" width="36.5703125" style="173" customWidth="1"/>
    <col min="1372" max="1384" width="36.85546875" style="173" customWidth="1"/>
    <col min="1385" max="1385" width="36.5703125" style="173" customWidth="1"/>
    <col min="1386" max="1388" width="36.85546875" style="173" customWidth="1"/>
    <col min="1389" max="1389" width="36.5703125" style="173" customWidth="1"/>
    <col min="1390" max="1397" width="36.85546875" style="173" customWidth="1"/>
    <col min="1398" max="1398" width="36.5703125" style="173" customWidth="1"/>
    <col min="1399" max="1536" width="36.85546875" style="173"/>
    <col min="1537" max="1537" width="18.5703125" style="173" customWidth="1"/>
    <col min="1538" max="1546" width="31.42578125" style="173" customWidth="1"/>
    <col min="1547" max="1563" width="36.85546875" style="173" customWidth="1"/>
    <col min="1564" max="1564" width="37" style="173" customWidth="1"/>
    <col min="1565" max="1580" width="36.85546875" style="173" customWidth="1"/>
    <col min="1581" max="1581" width="37.140625" style="173" customWidth="1"/>
    <col min="1582" max="1583" width="36.85546875" style="173" customWidth="1"/>
    <col min="1584" max="1584" width="36.5703125" style="173" customWidth="1"/>
    <col min="1585" max="1586" width="36.85546875" style="173" customWidth="1"/>
    <col min="1587" max="1587" width="36.5703125" style="173" customWidth="1"/>
    <col min="1588" max="1588" width="37" style="173" customWidth="1"/>
    <col min="1589" max="1607" width="36.85546875" style="173" customWidth="1"/>
    <col min="1608" max="1608" width="37" style="173" customWidth="1"/>
    <col min="1609" max="1626" width="36.85546875" style="173" customWidth="1"/>
    <col min="1627" max="1627" width="36.5703125" style="173" customWidth="1"/>
    <col min="1628" max="1640" width="36.85546875" style="173" customWidth="1"/>
    <col min="1641" max="1641" width="36.5703125" style="173" customWidth="1"/>
    <col min="1642" max="1644" width="36.85546875" style="173" customWidth="1"/>
    <col min="1645" max="1645" width="36.5703125" style="173" customWidth="1"/>
    <col min="1646" max="1653" width="36.85546875" style="173" customWidth="1"/>
    <col min="1654" max="1654" width="36.5703125" style="173" customWidth="1"/>
    <col min="1655" max="1792" width="36.85546875" style="173"/>
    <col min="1793" max="1793" width="18.5703125" style="173" customWidth="1"/>
    <col min="1794" max="1802" width="31.42578125" style="173" customWidth="1"/>
    <col min="1803" max="1819" width="36.85546875" style="173" customWidth="1"/>
    <col min="1820" max="1820" width="37" style="173" customWidth="1"/>
    <col min="1821" max="1836" width="36.85546875" style="173" customWidth="1"/>
    <col min="1837" max="1837" width="37.140625" style="173" customWidth="1"/>
    <col min="1838" max="1839" width="36.85546875" style="173" customWidth="1"/>
    <col min="1840" max="1840" width="36.5703125" style="173" customWidth="1"/>
    <col min="1841" max="1842" width="36.85546875" style="173" customWidth="1"/>
    <col min="1843" max="1843" width="36.5703125" style="173" customWidth="1"/>
    <col min="1844" max="1844" width="37" style="173" customWidth="1"/>
    <col min="1845" max="1863" width="36.85546875" style="173" customWidth="1"/>
    <col min="1864" max="1864" width="37" style="173" customWidth="1"/>
    <col min="1865" max="1882" width="36.85546875" style="173" customWidth="1"/>
    <col min="1883" max="1883" width="36.5703125" style="173" customWidth="1"/>
    <col min="1884" max="1896" width="36.85546875" style="173" customWidth="1"/>
    <col min="1897" max="1897" width="36.5703125" style="173" customWidth="1"/>
    <col min="1898" max="1900" width="36.85546875" style="173" customWidth="1"/>
    <col min="1901" max="1901" width="36.5703125" style="173" customWidth="1"/>
    <col min="1902" max="1909" width="36.85546875" style="173" customWidth="1"/>
    <col min="1910" max="1910" width="36.5703125" style="173" customWidth="1"/>
    <col min="1911" max="2048" width="36.85546875" style="173"/>
    <col min="2049" max="2049" width="18.5703125" style="173" customWidth="1"/>
    <col min="2050" max="2058" width="31.42578125" style="173" customWidth="1"/>
    <col min="2059" max="2075" width="36.85546875" style="173" customWidth="1"/>
    <col min="2076" max="2076" width="37" style="173" customWidth="1"/>
    <col min="2077" max="2092" width="36.85546875" style="173" customWidth="1"/>
    <col min="2093" max="2093" width="37.140625" style="173" customWidth="1"/>
    <col min="2094" max="2095" width="36.85546875" style="173" customWidth="1"/>
    <col min="2096" max="2096" width="36.5703125" style="173" customWidth="1"/>
    <col min="2097" max="2098" width="36.85546875" style="173" customWidth="1"/>
    <col min="2099" max="2099" width="36.5703125" style="173" customWidth="1"/>
    <col min="2100" max="2100" width="37" style="173" customWidth="1"/>
    <col min="2101" max="2119" width="36.85546875" style="173" customWidth="1"/>
    <col min="2120" max="2120" width="37" style="173" customWidth="1"/>
    <col min="2121" max="2138" width="36.85546875" style="173" customWidth="1"/>
    <col min="2139" max="2139" width="36.5703125" style="173" customWidth="1"/>
    <col min="2140" max="2152" width="36.85546875" style="173" customWidth="1"/>
    <col min="2153" max="2153" width="36.5703125" style="173" customWidth="1"/>
    <col min="2154" max="2156" width="36.85546875" style="173" customWidth="1"/>
    <col min="2157" max="2157" width="36.5703125" style="173" customWidth="1"/>
    <col min="2158" max="2165" width="36.85546875" style="173" customWidth="1"/>
    <col min="2166" max="2166" width="36.5703125" style="173" customWidth="1"/>
    <col min="2167" max="2304" width="36.85546875" style="173"/>
    <col min="2305" max="2305" width="18.5703125" style="173" customWidth="1"/>
    <col min="2306" max="2314" width="31.42578125" style="173" customWidth="1"/>
    <col min="2315" max="2331" width="36.85546875" style="173" customWidth="1"/>
    <col min="2332" max="2332" width="37" style="173" customWidth="1"/>
    <col min="2333" max="2348" width="36.85546875" style="173" customWidth="1"/>
    <col min="2349" max="2349" width="37.140625" style="173" customWidth="1"/>
    <col min="2350" max="2351" width="36.85546875" style="173" customWidth="1"/>
    <col min="2352" max="2352" width="36.5703125" style="173" customWidth="1"/>
    <col min="2353" max="2354" width="36.85546875" style="173" customWidth="1"/>
    <col min="2355" max="2355" width="36.5703125" style="173" customWidth="1"/>
    <col min="2356" max="2356" width="37" style="173" customWidth="1"/>
    <col min="2357" max="2375" width="36.85546875" style="173" customWidth="1"/>
    <col min="2376" max="2376" width="37" style="173" customWidth="1"/>
    <col min="2377" max="2394" width="36.85546875" style="173" customWidth="1"/>
    <col min="2395" max="2395" width="36.5703125" style="173" customWidth="1"/>
    <col min="2396" max="2408" width="36.85546875" style="173" customWidth="1"/>
    <col min="2409" max="2409" width="36.5703125" style="173" customWidth="1"/>
    <col min="2410" max="2412" width="36.85546875" style="173" customWidth="1"/>
    <col min="2413" max="2413" width="36.5703125" style="173" customWidth="1"/>
    <col min="2414" max="2421" width="36.85546875" style="173" customWidth="1"/>
    <col min="2422" max="2422" width="36.5703125" style="173" customWidth="1"/>
    <col min="2423" max="2560" width="36.85546875" style="173"/>
    <col min="2561" max="2561" width="18.5703125" style="173" customWidth="1"/>
    <col min="2562" max="2570" width="31.42578125" style="173" customWidth="1"/>
    <col min="2571" max="2587" width="36.85546875" style="173" customWidth="1"/>
    <col min="2588" max="2588" width="37" style="173" customWidth="1"/>
    <col min="2589" max="2604" width="36.85546875" style="173" customWidth="1"/>
    <col min="2605" max="2605" width="37.140625" style="173" customWidth="1"/>
    <col min="2606" max="2607" width="36.85546875" style="173" customWidth="1"/>
    <col min="2608" max="2608" width="36.5703125" style="173" customWidth="1"/>
    <col min="2609" max="2610" width="36.85546875" style="173" customWidth="1"/>
    <col min="2611" max="2611" width="36.5703125" style="173" customWidth="1"/>
    <col min="2612" max="2612" width="37" style="173" customWidth="1"/>
    <col min="2613" max="2631" width="36.85546875" style="173" customWidth="1"/>
    <col min="2632" max="2632" width="37" style="173" customWidth="1"/>
    <col min="2633" max="2650" width="36.85546875" style="173" customWidth="1"/>
    <col min="2651" max="2651" width="36.5703125" style="173" customWidth="1"/>
    <col min="2652" max="2664" width="36.85546875" style="173" customWidth="1"/>
    <col min="2665" max="2665" width="36.5703125" style="173" customWidth="1"/>
    <col min="2666" max="2668" width="36.85546875" style="173" customWidth="1"/>
    <col min="2669" max="2669" width="36.5703125" style="173" customWidth="1"/>
    <col min="2670" max="2677" width="36.85546875" style="173" customWidth="1"/>
    <col min="2678" max="2678" width="36.5703125" style="173" customWidth="1"/>
    <col min="2679" max="2816" width="36.85546875" style="173"/>
    <col min="2817" max="2817" width="18.5703125" style="173" customWidth="1"/>
    <col min="2818" max="2826" width="31.42578125" style="173" customWidth="1"/>
    <col min="2827" max="2843" width="36.85546875" style="173" customWidth="1"/>
    <col min="2844" max="2844" width="37" style="173" customWidth="1"/>
    <col min="2845" max="2860" width="36.85546875" style="173" customWidth="1"/>
    <col min="2861" max="2861" width="37.140625" style="173" customWidth="1"/>
    <col min="2862" max="2863" width="36.85546875" style="173" customWidth="1"/>
    <col min="2864" max="2864" width="36.5703125" style="173" customWidth="1"/>
    <col min="2865" max="2866" width="36.85546875" style="173" customWidth="1"/>
    <col min="2867" max="2867" width="36.5703125" style="173" customWidth="1"/>
    <col min="2868" max="2868" width="37" style="173" customWidth="1"/>
    <col min="2869" max="2887" width="36.85546875" style="173" customWidth="1"/>
    <col min="2888" max="2888" width="37" style="173" customWidth="1"/>
    <col min="2889" max="2906" width="36.85546875" style="173" customWidth="1"/>
    <col min="2907" max="2907" width="36.5703125" style="173" customWidth="1"/>
    <col min="2908" max="2920" width="36.85546875" style="173" customWidth="1"/>
    <col min="2921" max="2921" width="36.5703125" style="173" customWidth="1"/>
    <col min="2922" max="2924" width="36.85546875" style="173" customWidth="1"/>
    <col min="2925" max="2925" width="36.5703125" style="173" customWidth="1"/>
    <col min="2926" max="2933" width="36.85546875" style="173" customWidth="1"/>
    <col min="2934" max="2934" width="36.5703125" style="173" customWidth="1"/>
    <col min="2935" max="3072" width="36.85546875" style="173"/>
    <col min="3073" max="3073" width="18.5703125" style="173" customWidth="1"/>
    <col min="3074" max="3082" width="31.42578125" style="173" customWidth="1"/>
    <col min="3083" max="3099" width="36.85546875" style="173" customWidth="1"/>
    <col min="3100" max="3100" width="37" style="173" customWidth="1"/>
    <col min="3101" max="3116" width="36.85546875" style="173" customWidth="1"/>
    <col min="3117" max="3117" width="37.140625" style="173" customWidth="1"/>
    <col min="3118" max="3119" width="36.85546875" style="173" customWidth="1"/>
    <col min="3120" max="3120" width="36.5703125" style="173" customWidth="1"/>
    <col min="3121" max="3122" width="36.85546875" style="173" customWidth="1"/>
    <col min="3123" max="3123" width="36.5703125" style="173" customWidth="1"/>
    <col min="3124" max="3124" width="37" style="173" customWidth="1"/>
    <col min="3125" max="3143" width="36.85546875" style="173" customWidth="1"/>
    <col min="3144" max="3144" width="37" style="173" customWidth="1"/>
    <col min="3145" max="3162" width="36.85546875" style="173" customWidth="1"/>
    <col min="3163" max="3163" width="36.5703125" style="173" customWidth="1"/>
    <col min="3164" max="3176" width="36.85546875" style="173" customWidth="1"/>
    <col min="3177" max="3177" width="36.5703125" style="173" customWidth="1"/>
    <col min="3178" max="3180" width="36.85546875" style="173" customWidth="1"/>
    <col min="3181" max="3181" width="36.5703125" style="173" customWidth="1"/>
    <col min="3182" max="3189" width="36.85546875" style="173" customWidth="1"/>
    <col min="3190" max="3190" width="36.5703125" style="173" customWidth="1"/>
    <col min="3191" max="3328" width="36.85546875" style="173"/>
    <col min="3329" max="3329" width="18.5703125" style="173" customWidth="1"/>
    <col min="3330" max="3338" width="31.42578125" style="173" customWidth="1"/>
    <col min="3339" max="3355" width="36.85546875" style="173" customWidth="1"/>
    <col min="3356" max="3356" width="37" style="173" customWidth="1"/>
    <col min="3357" max="3372" width="36.85546875" style="173" customWidth="1"/>
    <col min="3373" max="3373" width="37.140625" style="173" customWidth="1"/>
    <col min="3374" max="3375" width="36.85546875" style="173" customWidth="1"/>
    <col min="3376" max="3376" width="36.5703125" style="173" customWidth="1"/>
    <col min="3377" max="3378" width="36.85546875" style="173" customWidth="1"/>
    <col min="3379" max="3379" width="36.5703125" style="173" customWidth="1"/>
    <col min="3380" max="3380" width="37" style="173" customWidth="1"/>
    <col min="3381" max="3399" width="36.85546875" style="173" customWidth="1"/>
    <col min="3400" max="3400" width="37" style="173" customWidth="1"/>
    <col min="3401" max="3418" width="36.85546875" style="173" customWidth="1"/>
    <col min="3419" max="3419" width="36.5703125" style="173" customWidth="1"/>
    <col min="3420" max="3432" width="36.85546875" style="173" customWidth="1"/>
    <col min="3433" max="3433" width="36.5703125" style="173" customWidth="1"/>
    <col min="3434" max="3436" width="36.85546875" style="173" customWidth="1"/>
    <col min="3437" max="3437" width="36.5703125" style="173" customWidth="1"/>
    <col min="3438" max="3445" width="36.85546875" style="173" customWidth="1"/>
    <col min="3446" max="3446" width="36.5703125" style="173" customWidth="1"/>
    <col min="3447" max="3584" width="36.85546875" style="173"/>
    <col min="3585" max="3585" width="18.5703125" style="173" customWidth="1"/>
    <col min="3586" max="3594" width="31.42578125" style="173" customWidth="1"/>
    <col min="3595" max="3611" width="36.85546875" style="173" customWidth="1"/>
    <col min="3612" max="3612" width="37" style="173" customWidth="1"/>
    <col min="3613" max="3628" width="36.85546875" style="173" customWidth="1"/>
    <col min="3629" max="3629" width="37.140625" style="173" customWidth="1"/>
    <col min="3630" max="3631" width="36.85546875" style="173" customWidth="1"/>
    <col min="3632" max="3632" width="36.5703125" style="173" customWidth="1"/>
    <col min="3633" max="3634" width="36.85546875" style="173" customWidth="1"/>
    <col min="3635" max="3635" width="36.5703125" style="173" customWidth="1"/>
    <col min="3636" max="3636" width="37" style="173" customWidth="1"/>
    <col min="3637" max="3655" width="36.85546875" style="173" customWidth="1"/>
    <col min="3656" max="3656" width="37" style="173" customWidth="1"/>
    <col min="3657" max="3674" width="36.85546875" style="173" customWidth="1"/>
    <col min="3675" max="3675" width="36.5703125" style="173" customWidth="1"/>
    <col min="3676" max="3688" width="36.85546875" style="173" customWidth="1"/>
    <col min="3689" max="3689" width="36.5703125" style="173" customWidth="1"/>
    <col min="3690" max="3692" width="36.85546875" style="173" customWidth="1"/>
    <col min="3693" max="3693" width="36.5703125" style="173" customWidth="1"/>
    <col min="3694" max="3701" width="36.85546875" style="173" customWidth="1"/>
    <col min="3702" max="3702" width="36.5703125" style="173" customWidth="1"/>
    <col min="3703" max="3840" width="36.85546875" style="173"/>
    <col min="3841" max="3841" width="18.5703125" style="173" customWidth="1"/>
    <col min="3842" max="3850" width="31.42578125" style="173" customWidth="1"/>
    <col min="3851" max="3867" width="36.85546875" style="173" customWidth="1"/>
    <col min="3868" max="3868" width="37" style="173" customWidth="1"/>
    <col min="3869" max="3884" width="36.85546875" style="173" customWidth="1"/>
    <col min="3885" max="3885" width="37.140625" style="173" customWidth="1"/>
    <col min="3886" max="3887" width="36.85546875" style="173" customWidth="1"/>
    <col min="3888" max="3888" width="36.5703125" style="173" customWidth="1"/>
    <col min="3889" max="3890" width="36.85546875" style="173" customWidth="1"/>
    <col min="3891" max="3891" width="36.5703125" style="173" customWidth="1"/>
    <col min="3892" max="3892" width="37" style="173" customWidth="1"/>
    <col min="3893" max="3911" width="36.85546875" style="173" customWidth="1"/>
    <col min="3912" max="3912" width="37" style="173" customWidth="1"/>
    <col min="3913" max="3930" width="36.85546875" style="173" customWidth="1"/>
    <col min="3931" max="3931" width="36.5703125" style="173" customWidth="1"/>
    <col min="3932" max="3944" width="36.85546875" style="173" customWidth="1"/>
    <col min="3945" max="3945" width="36.5703125" style="173" customWidth="1"/>
    <col min="3946" max="3948" width="36.85546875" style="173" customWidth="1"/>
    <col min="3949" max="3949" width="36.5703125" style="173" customWidth="1"/>
    <col min="3950" max="3957" width="36.85546875" style="173" customWidth="1"/>
    <col min="3958" max="3958" width="36.5703125" style="173" customWidth="1"/>
    <col min="3959" max="4096" width="36.85546875" style="173"/>
    <col min="4097" max="4097" width="18.5703125" style="173" customWidth="1"/>
    <col min="4098" max="4106" width="31.42578125" style="173" customWidth="1"/>
    <col min="4107" max="4123" width="36.85546875" style="173" customWidth="1"/>
    <col min="4124" max="4124" width="37" style="173" customWidth="1"/>
    <col min="4125" max="4140" width="36.85546875" style="173" customWidth="1"/>
    <col min="4141" max="4141" width="37.140625" style="173" customWidth="1"/>
    <col min="4142" max="4143" width="36.85546875" style="173" customWidth="1"/>
    <col min="4144" max="4144" width="36.5703125" style="173" customWidth="1"/>
    <col min="4145" max="4146" width="36.85546875" style="173" customWidth="1"/>
    <col min="4147" max="4147" width="36.5703125" style="173" customWidth="1"/>
    <col min="4148" max="4148" width="37" style="173" customWidth="1"/>
    <col min="4149" max="4167" width="36.85546875" style="173" customWidth="1"/>
    <col min="4168" max="4168" width="37" style="173" customWidth="1"/>
    <col min="4169" max="4186" width="36.85546875" style="173" customWidth="1"/>
    <col min="4187" max="4187" width="36.5703125" style="173" customWidth="1"/>
    <col min="4188" max="4200" width="36.85546875" style="173" customWidth="1"/>
    <col min="4201" max="4201" width="36.5703125" style="173" customWidth="1"/>
    <col min="4202" max="4204" width="36.85546875" style="173" customWidth="1"/>
    <col min="4205" max="4205" width="36.5703125" style="173" customWidth="1"/>
    <col min="4206" max="4213" width="36.85546875" style="173" customWidth="1"/>
    <col min="4214" max="4214" width="36.5703125" style="173" customWidth="1"/>
    <col min="4215" max="4352" width="36.85546875" style="173"/>
    <col min="4353" max="4353" width="18.5703125" style="173" customWidth="1"/>
    <col min="4354" max="4362" width="31.42578125" style="173" customWidth="1"/>
    <col min="4363" max="4379" width="36.85546875" style="173" customWidth="1"/>
    <col min="4380" max="4380" width="37" style="173" customWidth="1"/>
    <col min="4381" max="4396" width="36.85546875" style="173" customWidth="1"/>
    <col min="4397" max="4397" width="37.140625" style="173" customWidth="1"/>
    <col min="4398" max="4399" width="36.85546875" style="173" customWidth="1"/>
    <col min="4400" max="4400" width="36.5703125" style="173" customWidth="1"/>
    <col min="4401" max="4402" width="36.85546875" style="173" customWidth="1"/>
    <col min="4403" max="4403" width="36.5703125" style="173" customWidth="1"/>
    <col min="4404" max="4404" width="37" style="173" customWidth="1"/>
    <col min="4405" max="4423" width="36.85546875" style="173" customWidth="1"/>
    <col min="4424" max="4424" width="37" style="173" customWidth="1"/>
    <col min="4425" max="4442" width="36.85546875" style="173" customWidth="1"/>
    <col min="4443" max="4443" width="36.5703125" style="173" customWidth="1"/>
    <col min="4444" max="4456" width="36.85546875" style="173" customWidth="1"/>
    <col min="4457" max="4457" width="36.5703125" style="173" customWidth="1"/>
    <col min="4458" max="4460" width="36.85546875" style="173" customWidth="1"/>
    <col min="4461" max="4461" width="36.5703125" style="173" customWidth="1"/>
    <col min="4462" max="4469" width="36.85546875" style="173" customWidth="1"/>
    <col min="4470" max="4470" width="36.5703125" style="173" customWidth="1"/>
    <col min="4471" max="4608" width="36.85546875" style="173"/>
    <col min="4609" max="4609" width="18.5703125" style="173" customWidth="1"/>
    <col min="4610" max="4618" width="31.42578125" style="173" customWidth="1"/>
    <col min="4619" max="4635" width="36.85546875" style="173" customWidth="1"/>
    <col min="4636" max="4636" width="37" style="173" customWidth="1"/>
    <col min="4637" max="4652" width="36.85546875" style="173" customWidth="1"/>
    <col min="4653" max="4653" width="37.140625" style="173" customWidth="1"/>
    <col min="4654" max="4655" width="36.85546875" style="173" customWidth="1"/>
    <col min="4656" max="4656" width="36.5703125" style="173" customWidth="1"/>
    <col min="4657" max="4658" width="36.85546875" style="173" customWidth="1"/>
    <col min="4659" max="4659" width="36.5703125" style="173" customWidth="1"/>
    <col min="4660" max="4660" width="37" style="173" customWidth="1"/>
    <col min="4661" max="4679" width="36.85546875" style="173" customWidth="1"/>
    <col min="4680" max="4680" width="37" style="173" customWidth="1"/>
    <col min="4681" max="4698" width="36.85546875" style="173" customWidth="1"/>
    <col min="4699" max="4699" width="36.5703125" style="173" customWidth="1"/>
    <col min="4700" max="4712" width="36.85546875" style="173" customWidth="1"/>
    <col min="4713" max="4713" width="36.5703125" style="173" customWidth="1"/>
    <col min="4714" max="4716" width="36.85546875" style="173" customWidth="1"/>
    <col min="4717" max="4717" width="36.5703125" style="173" customWidth="1"/>
    <col min="4718" max="4725" width="36.85546875" style="173" customWidth="1"/>
    <col min="4726" max="4726" width="36.5703125" style="173" customWidth="1"/>
    <col min="4727" max="4864" width="36.85546875" style="173"/>
    <col min="4865" max="4865" width="18.5703125" style="173" customWidth="1"/>
    <col min="4866" max="4874" width="31.42578125" style="173" customWidth="1"/>
    <col min="4875" max="4891" width="36.85546875" style="173" customWidth="1"/>
    <col min="4892" max="4892" width="37" style="173" customWidth="1"/>
    <col min="4893" max="4908" width="36.85546875" style="173" customWidth="1"/>
    <col min="4909" max="4909" width="37.140625" style="173" customWidth="1"/>
    <col min="4910" max="4911" width="36.85546875" style="173" customWidth="1"/>
    <col min="4912" max="4912" width="36.5703125" style="173" customWidth="1"/>
    <col min="4913" max="4914" width="36.85546875" style="173" customWidth="1"/>
    <col min="4915" max="4915" width="36.5703125" style="173" customWidth="1"/>
    <col min="4916" max="4916" width="37" style="173" customWidth="1"/>
    <col min="4917" max="4935" width="36.85546875" style="173" customWidth="1"/>
    <col min="4936" max="4936" width="37" style="173" customWidth="1"/>
    <col min="4937" max="4954" width="36.85546875" style="173" customWidth="1"/>
    <col min="4955" max="4955" width="36.5703125" style="173" customWidth="1"/>
    <col min="4956" max="4968" width="36.85546875" style="173" customWidth="1"/>
    <col min="4969" max="4969" width="36.5703125" style="173" customWidth="1"/>
    <col min="4970" max="4972" width="36.85546875" style="173" customWidth="1"/>
    <col min="4973" max="4973" width="36.5703125" style="173" customWidth="1"/>
    <col min="4974" max="4981" width="36.85546875" style="173" customWidth="1"/>
    <col min="4982" max="4982" width="36.5703125" style="173" customWidth="1"/>
    <col min="4983" max="5120" width="36.85546875" style="173"/>
    <col min="5121" max="5121" width="18.5703125" style="173" customWidth="1"/>
    <col min="5122" max="5130" width="31.42578125" style="173" customWidth="1"/>
    <col min="5131" max="5147" width="36.85546875" style="173" customWidth="1"/>
    <col min="5148" max="5148" width="37" style="173" customWidth="1"/>
    <col min="5149" max="5164" width="36.85546875" style="173" customWidth="1"/>
    <col min="5165" max="5165" width="37.140625" style="173" customWidth="1"/>
    <col min="5166" max="5167" width="36.85546875" style="173" customWidth="1"/>
    <col min="5168" max="5168" width="36.5703125" style="173" customWidth="1"/>
    <col min="5169" max="5170" width="36.85546875" style="173" customWidth="1"/>
    <col min="5171" max="5171" width="36.5703125" style="173" customWidth="1"/>
    <col min="5172" max="5172" width="37" style="173" customWidth="1"/>
    <col min="5173" max="5191" width="36.85546875" style="173" customWidth="1"/>
    <col min="5192" max="5192" width="37" style="173" customWidth="1"/>
    <col min="5193" max="5210" width="36.85546875" style="173" customWidth="1"/>
    <col min="5211" max="5211" width="36.5703125" style="173" customWidth="1"/>
    <col min="5212" max="5224" width="36.85546875" style="173" customWidth="1"/>
    <col min="5225" max="5225" width="36.5703125" style="173" customWidth="1"/>
    <col min="5226" max="5228" width="36.85546875" style="173" customWidth="1"/>
    <col min="5229" max="5229" width="36.5703125" style="173" customWidth="1"/>
    <col min="5230" max="5237" width="36.85546875" style="173" customWidth="1"/>
    <col min="5238" max="5238" width="36.5703125" style="173" customWidth="1"/>
    <col min="5239" max="5376" width="36.85546875" style="173"/>
    <col min="5377" max="5377" width="18.5703125" style="173" customWidth="1"/>
    <col min="5378" max="5386" width="31.42578125" style="173" customWidth="1"/>
    <col min="5387" max="5403" width="36.85546875" style="173" customWidth="1"/>
    <col min="5404" max="5404" width="37" style="173" customWidth="1"/>
    <col min="5405" max="5420" width="36.85546875" style="173" customWidth="1"/>
    <col min="5421" max="5421" width="37.140625" style="173" customWidth="1"/>
    <col min="5422" max="5423" width="36.85546875" style="173" customWidth="1"/>
    <col min="5424" max="5424" width="36.5703125" style="173" customWidth="1"/>
    <col min="5425" max="5426" width="36.85546875" style="173" customWidth="1"/>
    <col min="5427" max="5427" width="36.5703125" style="173" customWidth="1"/>
    <col min="5428" max="5428" width="37" style="173" customWidth="1"/>
    <col min="5429" max="5447" width="36.85546875" style="173" customWidth="1"/>
    <col min="5448" max="5448" width="37" style="173" customWidth="1"/>
    <col min="5449" max="5466" width="36.85546875" style="173" customWidth="1"/>
    <col min="5467" max="5467" width="36.5703125" style="173" customWidth="1"/>
    <col min="5468" max="5480" width="36.85546875" style="173" customWidth="1"/>
    <col min="5481" max="5481" width="36.5703125" style="173" customWidth="1"/>
    <col min="5482" max="5484" width="36.85546875" style="173" customWidth="1"/>
    <col min="5485" max="5485" width="36.5703125" style="173" customWidth="1"/>
    <col min="5486" max="5493" width="36.85546875" style="173" customWidth="1"/>
    <col min="5494" max="5494" width="36.5703125" style="173" customWidth="1"/>
    <col min="5495" max="5632" width="36.85546875" style="173"/>
    <col min="5633" max="5633" width="18.5703125" style="173" customWidth="1"/>
    <col min="5634" max="5642" width="31.42578125" style="173" customWidth="1"/>
    <col min="5643" max="5659" width="36.85546875" style="173" customWidth="1"/>
    <col min="5660" max="5660" width="37" style="173" customWidth="1"/>
    <col min="5661" max="5676" width="36.85546875" style="173" customWidth="1"/>
    <col min="5677" max="5677" width="37.140625" style="173" customWidth="1"/>
    <col min="5678" max="5679" width="36.85546875" style="173" customWidth="1"/>
    <col min="5680" max="5680" width="36.5703125" style="173" customWidth="1"/>
    <col min="5681" max="5682" width="36.85546875" style="173" customWidth="1"/>
    <col min="5683" max="5683" width="36.5703125" style="173" customWidth="1"/>
    <col min="5684" max="5684" width="37" style="173" customWidth="1"/>
    <col min="5685" max="5703" width="36.85546875" style="173" customWidth="1"/>
    <col min="5704" max="5704" width="37" style="173" customWidth="1"/>
    <col min="5705" max="5722" width="36.85546875" style="173" customWidth="1"/>
    <col min="5723" max="5723" width="36.5703125" style="173" customWidth="1"/>
    <col min="5724" max="5736" width="36.85546875" style="173" customWidth="1"/>
    <col min="5737" max="5737" width="36.5703125" style="173" customWidth="1"/>
    <col min="5738" max="5740" width="36.85546875" style="173" customWidth="1"/>
    <col min="5741" max="5741" width="36.5703125" style="173" customWidth="1"/>
    <col min="5742" max="5749" width="36.85546875" style="173" customWidth="1"/>
    <col min="5750" max="5750" width="36.5703125" style="173" customWidth="1"/>
    <col min="5751" max="5888" width="36.85546875" style="173"/>
    <col min="5889" max="5889" width="18.5703125" style="173" customWidth="1"/>
    <col min="5890" max="5898" width="31.42578125" style="173" customWidth="1"/>
    <col min="5899" max="5915" width="36.85546875" style="173" customWidth="1"/>
    <col min="5916" max="5916" width="37" style="173" customWidth="1"/>
    <col min="5917" max="5932" width="36.85546875" style="173" customWidth="1"/>
    <col min="5933" max="5933" width="37.140625" style="173" customWidth="1"/>
    <col min="5934" max="5935" width="36.85546875" style="173" customWidth="1"/>
    <col min="5936" max="5936" width="36.5703125" style="173" customWidth="1"/>
    <col min="5937" max="5938" width="36.85546875" style="173" customWidth="1"/>
    <col min="5939" max="5939" width="36.5703125" style="173" customWidth="1"/>
    <col min="5940" max="5940" width="37" style="173" customWidth="1"/>
    <col min="5941" max="5959" width="36.85546875" style="173" customWidth="1"/>
    <col min="5960" max="5960" width="37" style="173" customWidth="1"/>
    <col min="5961" max="5978" width="36.85546875" style="173" customWidth="1"/>
    <col min="5979" max="5979" width="36.5703125" style="173" customWidth="1"/>
    <col min="5980" max="5992" width="36.85546875" style="173" customWidth="1"/>
    <col min="5993" max="5993" width="36.5703125" style="173" customWidth="1"/>
    <col min="5994" max="5996" width="36.85546875" style="173" customWidth="1"/>
    <col min="5997" max="5997" width="36.5703125" style="173" customWidth="1"/>
    <col min="5998" max="6005" width="36.85546875" style="173" customWidth="1"/>
    <col min="6006" max="6006" width="36.5703125" style="173" customWidth="1"/>
    <col min="6007" max="6144" width="36.85546875" style="173"/>
    <col min="6145" max="6145" width="18.5703125" style="173" customWidth="1"/>
    <col min="6146" max="6154" width="31.42578125" style="173" customWidth="1"/>
    <col min="6155" max="6171" width="36.85546875" style="173" customWidth="1"/>
    <col min="6172" max="6172" width="37" style="173" customWidth="1"/>
    <col min="6173" max="6188" width="36.85546875" style="173" customWidth="1"/>
    <col min="6189" max="6189" width="37.140625" style="173" customWidth="1"/>
    <col min="6190" max="6191" width="36.85546875" style="173" customWidth="1"/>
    <col min="6192" max="6192" width="36.5703125" style="173" customWidth="1"/>
    <col min="6193" max="6194" width="36.85546875" style="173" customWidth="1"/>
    <col min="6195" max="6195" width="36.5703125" style="173" customWidth="1"/>
    <col min="6196" max="6196" width="37" style="173" customWidth="1"/>
    <col min="6197" max="6215" width="36.85546875" style="173" customWidth="1"/>
    <col min="6216" max="6216" width="37" style="173" customWidth="1"/>
    <col min="6217" max="6234" width="36.85546875" style="173" customWidth="1"/>
    <col min="6235" max="6235" width="36.5703125" style="173" customWidth="1"/>
    <col min="6236" max="6248" width="36.85546875" style="173" customWidth="1"/>
    <col min="6249" max="6249" width="36.5703125" style="173" customWidth="1"/>
    <col min="6250" max="6252" width="36.85546875" style="173" customWidth="1"/>
    <col min="6253" max="6253" width="36.5703125" style="173" customWidth="1"/>
    <col min="6254" max="6261" width="36.85546875" style="173" customWidth="1"/>
    <col min="6262" max="6262" width="36.5703125" style="173" customWidth="1"/>
    <col min="6263" max="6400" width="36.85546875" style="173"/>
    <col min="6401" max="6401" width="18.5703125" style="173" customWidth="1"/>
    <col min="6402" max="6410" width="31.42578125" style="173" customWidth="1"/>
    <col min="6411" max="6427" width="36.85546875" style="173" customWidth="1"/>
    <col min="6428" max="6428" width="37" style="173" customWidth="1"/>
    <col min="6429" max="6444" width="36.85546875" style="173" customWidth="1"/>
    <col min="6445" max="6445" width="37.140625" style="173" customWidth="1"/>
    <col min="6446" max="6447" width="36.85546875" style="173" customWidth="1"/>
    <col min="6448" max="6448" width="36.5703125" style="173" customWidth="1"/>
    <col min="6449" max="6450" width="36.85546875" style="173" customWidth="1"/>
    <col min="6451" max="6451" width="36.5703125" style="173" customWidth="1"/>
    <col min="6452" max="6452" width="37" style="173" customWidth="1"/>
    <col min="6453" max="6471" width="36.85546875" style="173" customWidth="1"/>
    <col min="6472" max="6472" width="37" style="173" customWidth="1"/>
    <col min="6473" max="6490" width="36.85546875" style="173" customWidth="1"/>
    <col min="6491" max="6491" width="36.5703125" style="173" customWidth="1"/>
    <col min="6492" max="6504" width="36.85546875" style="173" customWidth="1"/>
    <col min="6505" max="6505" width="36.5703125" style="173" customWidth="1"/>
    <col min="6506" max="6508" width="36.85546875" style="173" customWidth="1"/>
    <col min="6509" max="6509" width="36.5703125" style="173" customWidth="1"/>
    <col min="6510" max="6517" width="36.85546875" style="173" customWidth="1"/>
    <col min="6518" max="6518" width="36.5703125" style="173" customWidth="1"/>
    <col min="6519" max="6656" width="36.85546875" style="173"/>
    <col min="6657" max="6657" width="18.5703125" style="173" customWidth="1"/>
    <col min="6658" max="6666" width="31.42578125" style="173" customWidth="1"/>
    <col min="6667" max="6683" width="36.85546875" style="173" customWidth="1"/>
    <col min="6684" max="6684" width="37" style="173" customWidth="1"/>
    <col min="6685" max="6700" width="36.85546875" style="173" customWidth="1"/>
    <col min="6701" max="6701" width="37.140625" style="173" customWidth="1"/>
    <col min="6702" max="6703" width="36.85546875" style="173" customWidth="1"/>
    <col min="6704" max="6704" width="36.5703125" style="173" customWidth="1"/>
    <col min="6705" max="6706" width="36.85546875" style="173" customWidth="1"/>
    <col min="6707" max="6707" width="36.5703125" style="173" customWidth="1"/>
    <col min="6708" max="6708" width="37" style="173" customWidth="1"/>
    <col min="6709" max="6727" width="36.85546875" style="173" customWidth="1"/>
    <col min="6728" max="6728" width="37" style="173" customWidth="1"/>
    <col min="6729" max="6746" width="36.85546875" style="173" customWidth="1"/>
    <col min="6747" max="6747" width="36.5703125" style="173" customWidth="1"/>
    <col min="6748" max="6760" width="36.85546875" style="173" customWidth="1"/>
    <col min="6761" max="6761" width="36.5703125" style="173" customWidth="1"/>
    <col min="6762" max="6764" width="36.85546875" style="173" customWidth="1"/>
    <col min="6765" max="6765" width="36.5703125" style="173" customWidth="1"/>
    <col min="6766" max="6773" width="36.85546875" style="173" customWidth="1"/>
    <col min="6774" max="6774" width="36.5703125" style="173" customWidth="1"/>
    <col min="6775" max="6912" width="36.85546875" style="173"/>
    <col min="6913" max="6913" width="18.5703125" style="173" customWidth="1"/>
    <col min="6914" max="6922" width="31.42578125" style="173" customWidth="1"/>
    <col min="6923" max="6939" width="36.85546875" style="173" customWidth="1"/>
    <col min="6940" max="6940" width="37" style="173" customWidth="1"/>
    <col min="6941" max="6956" width="36.85546875" style="173" customWidth="1"/>
    <col min="6957" max="6957" width="37.140625" style="173" customWidth="1"/>
    <col min="6958" max="6959" width="36.85546875" style="173" customWidth="1"/>
    <col min="6960" max="6960" width="36.5703125" style="173" customWidth="1"/>
    <col min="6961" max="6962" width="36.85546875" style="173" customWidth="1"/>
    <col min="6963" max="6963" width="36.5703125" style="173" customWidth="1"/>
    <col min="6964" max="6964" width="37" style="173" customWidth="1"/>
    <col min="6965" max="6983" width="36.85546875" style="173" customWidth="1"/>
    <col min="6984" max="6984" width="37" style="173" customWidth="1"/>
    <col min="6985" max="7002" width="36.85546875" style="173" customWidth="1"/>
    <col min="7003" max="7003" width="36.5703125" style="173" customWidth="1"/>
    <col min="7004" max="7016" width="36.85546875" style="173" customWidth="1"/>
    <col min="7017" max="7017" width="36.5703125" style="173" customWidth="1"/>
    <col min="7018" max="7020" width="36.85546875" style="173" customWidth="1"/>
    <col min="7021" max="7021" width="36.5703125" style="173" customWidth="1"/>
    <col min="7022" max="7029" width="36.85546875" style="173" customWidth="1"/>
    <col min="7030" max="7030" width="36.5703125" style="173" customWidth="1"/>
    <col min="7031" max="7168" width="36.85546875" style="173"/>
    <col min="7169" max="7169" width="18.5703125" style="173" customWidth="1"/>
    <col min="7170" max="7178" width="31.42578125" style="173" customWidth="1"/>
    <col min="7179" max="7195" width="36.85546875" style="173" customWidth="1"/>
    <col min="7196" max="7196" width="37" style="173" customWidth="1"/>
    <col min="7197" max="7212" width="36.85546875" style="173" customWidth="1"/>
    <col min="7213" max="7213" width="37.140625" style="173" customWidth="1"/>
    <col min="7214" max="7215" width="36.85546875" style="173" customWidth="1"/>
    <col min="7216" max="7216" width="36.5703125" style="173" customWidth="1"/>
    <col min="7217" max="7218" width="36.85546875" style="173" customWidth="1"/>
    <col min="7219" max="7219" width="36.5703125" style="173" customWidth="1"/>
    <col min="7220" max="7220" width="37" style="173" customWidth="1"/>
    <col min="7221" max="7239" width="36.85546875" style="173" customWidth="1"/>
    <col min="7240" max="7240" width="37" style="173" customWidth="1"/>
    <col min="7241" max="7258" width="36.85546875" style="173" customWidth="1"/>
    <col min="7259" max="7259" width="36.5703125" style="173" customWidth="1"/>
    <col min="7260" max="7272" width="36.85546875" style="173" customWidth="1"/>
    <col min="7273" max="7273" width="36.5703125" style="173" customWidth="1"/>
    <col min="7274" max="7276" width="36.85546875" style="173" customWidth="1"/>
    <col min="7277" max="7277" width="36.5703125" style="173" customWidth="1"/>
    <col min="7278" max="7285" width="36.85546875" style="173" customWidth="1"/>
    <col min="7286" max="7286" width="36.5703125" style="173" customWidth="1"/>
    <col min="7287" max="7424" width="36.85546875" style="173"/>
    <col min="7425" max="7425" width="18.5703125" style="173" customWidth="1"/>
    <col min="7426" max="7434" width="31.42578125" style="173" customWidth="1"/>
    <col min="7435" max="7451" width="36.85546875" style="173" customWidth="1"/>
    <col min="7452" max="7452" width="37" style="173" customWidth="1"/>
    <col min="7453" max="7468" width="36.85546875" style="173" customWidth="1"/>
    <col min="7469" max="7469" width="37.140625" style="173" customWidth="1"/>
    <col min="7470" max="7471" width="36.85546875" style="173" customWidth="1"/>
    <col min="7472" max="7472" width="36.5703125" style="173" customWidth="1"/>
    <col min="7473" max="7474" width="36.85546875" style="173" customWidth="1"/>
    <col min="7475" max="7475" width="36.5703125" style="173" customWidth="1"/>
    <col min="7476" max="7476" width="37" style="173" customWidth="1"/>
    <col min="7477" max="7495" width="36.85546875" style="173" customWidth="1"/>
    <col min="7496" max="7496" width="37" style="173" customWidth="1"/>
    <col min="7497" max="7514" width="36.85546875" style="173" customWidth="1"/>
    <col min="7515" max="7515" width="36.5703125" style="173" customWidth="1"/>
    <col min="7516" max="7528" width="36.85546875" style="173" customWidth="1"/>
    <col min="7529" max="7529" width="36.5703125" style="173" customWidth="1"/>
    <col min="7530" max="7532" width="36.85546875" style="173" customWidth="1"/>
    <col min="7533" max="7533" width="36.5703125" style="173" customWidth="1"/>
    <col min="7534" max="7541" width="36.85546875" style="173" customWidth="1"/>
    <col min="7542" max="7542" width="36.5703125" style="173" customWidth="1"/>
    <col min="7543" max="7680" width="36.85546875" style="173"/>
    <col min="7681" max="7681" width="18.5703125" style="173" customWidth="1"/>
    <col min="7682" max="7690" width="31.42578125" style="173" customWidth="1"/>
    <col min="7691" max="7707" width="36.85546875" style="173" customWidth="1"/>
    <col min="7708" max="7708" width="37" style="173" customWidth="1"/>
    <col min="7709" max="7724" width="36.85546875" style="173" customWidth="1"/>
    <col min="7725" max="7725" width="37.140625" style="173" customWidth="1"/>
    <col min="7726" max="7727" width="36.85546875" style="173" customWidth="1"/>
    <col min="7728" max="7728" width="36.5703125" style="173" customWidth="1"/>
    <col min="7729" max="7730" width="36.85546875" style="173" customWidth="1"/>
    <col min="7731" max="7731" width="36.5703125" style="173" customWidth="1"/>
    <col min="7732" max="7732" width="37" style="173" customWidth="1"/>
    <col min="7733" max="7751" width="36.85546875" style="173" customWidth="1"/>
    <col min="7752" max="7752" width="37" style="173" customWidth="1"/>
    <col min="7753" max="7770" width="36.85546875" style="173" customWidth="1"/>
    <col min="7771" max="7771" width="36.5703125" style="173" customWidth="1"/>
    <col min="7772" max="7784" width="36.85546875" style="173" customWidth="1"/>
    <col min="7785" max="7785" width="36.5703125" style="173" customWidth="1"/>
    <col min="7786" max="7788" width="36.85546875" style="173" customWidth="1"/>
    <col min="7789" max="7789" width="36.5703125" style="173" customWidth="1"/>
    <col min="7790" max="7797" width="36.85546875" style="173" customWidth="1"/>
    <col min="7798" max="7798" width="36.5703125" style="173" customWidth="1"/>
    <col min="7799" max="7936" width="36.85546875" style="173"/>
    <col min="7937" max="7937" width="18.5703125" style="173" customWidth="1"/>
    <col min="7938" max="7946" width="31.42578125" style="173" customWidth="1"/>
    <col min="7947" max="7963" width="36.85546875" style="173" customWidth="1"/>
    <col min="7964" max="7964" width="37" style="173" customWidth="1"/>
    <col min="7965" max="7980" width="36.85546875" style="173" customWidth="1"/>
    <col min="7981" max="7981" width="37.140625" style="173" customWidth="1"/>
    <col min="7982" max="7983" width="36.85546875" style="173" customWidth="1"/>
    <col min="7984" max="7984" width="36.5703125" style="173" customWidth="1"/>
    <col min="7985" max="7986" width="36.85546875" style="173" customWidth="1"/>
    <col min="7987" max="7987" width="36.5703125" style="173" customWidth="1"/>
    <col min="7988" max="7988" width="37" style="173" customWidth="1"/>
    <col min="7989" max="8007" width="36.85546875" style="173" customWidth="1"/>
    <col min="8008" max="8008" width="37" style="173" customWidth="1"/>
    <col min="8009" max="8026" width="36.85546875" style="173" customWidth="1"/>
    <col min="8027" max="8027" width="36.5703125" style="173" customWidth="1"/>
    <col min="8028" max="8040" width="36.85546875" style="173" customWidth="1"/>
    <col min="8041" max="8041" width="36.5703125" style="173" customWidth="1"/>
    <col min="8042" max="8044" width="36.85546875" style="173" customWidth="1"/>
    <col min="8045" max="8045" width="36.5703125" style="173" customWidth="1"/>
    <col min="8046" max="8053" width="36.85546875" style="173" customWidth="1"/>
    <col min="8054" max="8054" width="36.5703125" style="173" customWidth="1"/>
    <col min="8055" max="8192" width="36.85546875" style="173"/>
    <col min="8193" max="8193" width="18.5703125" style="173" customWidth="1"/>
    <col min="8194" max="8202" width="31.42578125" style="173" customWidth="1"/>
    <col min="8203" max="8219" width="36.85546875" style="173" customWidth="1"/>
    <col min="8220" max="8220" width="37" style="173" customWidth="1"/>
    <col min="8221" max="8236" width="36.85546875" style="173" customWidth="1"/>
    <col min="8237" max="8237" width="37.140625" style="173" customWidth="1"/>
    <col min="8238" max="8239" width="36.85546875" style="173" customWidth="1"/>
    <col min="8240" max="8240" width="36.5703125" style="173" customWidth="1"/>
    <col min="8241" max="8242" width="36.85546875" style="173" customWidth="1"/>
    <col min="8243" max="8243" width="36.5703125" style="173" customWidth="1"/>
    <col min="8244" max="8244" width="37" style="173" customWidth="1"/>
    <col min="8245" max="8263" width="36.85546875" style="173" customWidth="1"/>
    <col min="8264" max="8264" width="37" style="173" customWidth="1"/>
    <col min="8265" max="8282" width="36.85546875" style="173" customWidth="1"/>
    <col min="8283" max="8283" width="36.5703125" style="173" customWidth="1"/>
    <col min="8284" max="8296" width="36.85546875" style="173" customWidth="1"/>
    <col min="8297" max="8297" width="36.5703125" style="173" customWidth="1"/>
    <col min="8298" max="8300" width="36.85546875" style="173" customWidth="1"/>
    <col min="8301" max="8301" width="36.5703125" style="173" customWidth="1"/>
    <col min="8302" max="8309" width="36.85546875" style="173" customWidth="1"/>
    <col min="8310" max="8310" width="36.5703125" style="173" customWidth="1"/>
    <col min="8311" max="8448" width="36.85546875" style="173"/>
    <col min="8449" max="8449" width="18.5703125" style="173" customWidth="1"/>
    <col min="8450" max="8458" width="31.42578125" style="173" customWidth="1"/>
    <col min="8459" max="8475" width="36.85546875" style="173" customWidth="1"/>
    <col min="8476" max="8476" width="37" style="173" customWidth="1"/>
    <col min="8477" max="8492" width="36.85546875" style="173" customWidth="1"/>
    <col min="8493" max="8493" width="37.140625" style="173" customWidth="1"/>
    <col min="8494" max="8495" width="36.85546875" style="173" customWidth="1"/>
    <col min="8496" max="8496" width="36.5703125" style="173" customWidth="1"/>
    <col min="8497" max="8498" width="36.85546875" style="173" customWidth="1"/>
    <col min="8499" max="8499" width="36.5703125" style="173" customWidth="1"/>
    <col min="8500" max="8500" width="37" style="173" customWidth="1"/>
    <col min="8501" max="8519" width="36.85546875" style="173" customWidth="1"/>
    <col min="8520" max="8520" width="37" style="173" customWidth="1"/>
    <col min="8521" max="8538" width="36.85546875" style="173" customWidth="1"/>
    <col min="8539" max="8539" width="36.5703125" style="173" customWidth="1"/>
    <col min="8540" max="8552" width="36.85546875" style="173" customWidth="1"/>
    <col min="8553" max="8553" width="36.5703125" style="173" customWidth="1"/>
    <col min="8554" max="8556" width="36.85546875" style="173" customWidth="1"/>
    <col min="8557" max="8557" width="36.5703125" style="173" customWidth="1"/>
    <col min="8558" max="8565" width="36.85546875" style="173" customWidth="1"/>
    <col min="8566" max="8566" width="36.5703125" style="173" customWidth="1"/>
    <col min="8567" max="8704" width="36.85546875" style="173"/>
    <col min="8705" max="8705" width="18.5703125" style="173" customWidth="1"/>
    <col min="8706" max="8714" width="31.42578125" style="173" customWidth="1"/>
    <col min="8715" max="8731" width="36.85546875" style="173" customWidth="1"/>
    <col min="8732" max="8732" width="37" style="173" customWidth="1"/>
    <col min="8733" max="8748" width="36.85546875" style="173" customWidth="1"/>
    <col min="8749" max="8749" width="37.140625" style="173" customWidth="1"/>
    <col min="8750" max="8751" width="36.85546875" style="173" customWidth="1"/>
    <col min="8752" max="8752" width="36.5703125" style="173" customWidth="1"/>
    <col min="8753" max="8754" width="36.85546875" style="173" customWidth="1"/>
    <col min="8755" max="8755" width="36.5703125" style="173" customWidth="1"/>
    <col min="8756" max="8756" width="37" style="173" customWidth="1"/>
    <col min="8757" max="8775" width="36.85546875" style="173" customWidth="1"/>
    <col min="8776" max="8776" width="37" style="173" customWidth="1"/>
    <col min="8777" max="8794" width="36.85546875" style="173" customWidth="1"/>
    <col min="8795" max="8795" width="36.5703125" style="173" customWidth="1"/>
    <col min="8796" max="8808" width="36.85546875" style="173" customWidth="1"/>
    <col min="8809" max="8809" width="36.5703125" style="173" customWidth="1"/>
    <col min="8810" max="8812" width="36.85546875" style="173" customWidth="1"/>
    <col min="8813" max="8813" width="36.5703125" style="173" customWidth="1"/>
    <col min="8814" max="8821" width="36.85546875" style="173" customWidth="1"/>
    <col min="8822" max="8822" width="36.5703125" style="173" customWidth="1"/>
    <col min="8823" max="8960" width="36.85546875" style="173"/>
    <col min="8961" max="8961" width="18.5703125" style="173" customWidth="1"/>
    <col min="8962" max="8970" width="31.42578125" style="173" customWidth="1"/>
    <col min="8971" max="8987" width="36.85546875" style="173" customWidth="1"/>
    <col min="8988" max="8988" width="37" style="173" customWidth="1"/>
    <col min="8989" max="9004" width="36.85546875" style="173" customWidth="1"/>
    <col min="9005" max="9005" width="37.140625" style="173" customWidth="1"/>
    <col min="9006" max="9007" width="36.85546875" style="173" customWidth="1"/>
    <col min="9008" max="9008" width="36.5703125" style="173" customWidth="1"/>
    <col min="9009" max="9010" width="36.85546875" style="173" customWidth="1"/>
    <col min="9011" max="9011" width="36.5703125" style="173" customWidth="1"/>
    <col min="9012" max="9012" width="37" style="173" customWidth="1"/>
    <col min="9013" max="9031" width="36.85546875" style="173" customWidth="1"/>
    <col min="9032" max="9032" width="37" style="173" customWidth="1"/>
    <col min="9033" max="9050" width="36.85546875" style="173" customWidth="1"/>
    <col min="9051" max="9051" width="36.5703125" style="173" customWidth="1"/>
    <col min="9052" max="9064" width="36.85546875" style="173" customWidth="1"/>
    <col min="9065" max="9065" width="36.5703125" style="173" customWidth="1"/>
    <col min="9066" max="9068" width="36.85546875" style="173" customWidth="1"/>
    <col min="9069" max="9069" width="36.5703125" style="173" customWidth="1"/>
    <col min="9070" max="9077" width="36.85546875" style="173" customWidth="1"/>
    <col min="9078" max="9078" width="36.5703125" style="173" customWidth="1"/>
    <col min="9079" max="9216" width="36.85546875" style="173"/>
    <col min="9217" max="9217" width="18.5703125" style="173" customWidth="1"/>
    <col min="9218" max="9226" width="31.42578125" style="173" customWidth="1"/>
    <col min="9227" max="9243" width="36.85546875" style="173" customWidth="1"/>
    <col min="9244" max="9244" width="37" style="173" customWidth="1"/>
    <col min="9245" max="9260" width="36.85546875" style="173" customWidth="1"/>
    <col min="9261" max="9261" width="37.140625" style="173" customWidth="1"/>
    <col min="9262" max="9263" width="36.85546875" style="173" customWidth="1"/>
    <col min="9264" max="9264" width="36.5703125" style="173" customWidth="1"/>
    <col min="9265" max="9266" width="36.85546875" style="173" customWidth="1"/>
    <col min="9267" max="9267" width="36.5703125" style="173" customWidth="1"/>
    <col min="9268" max="9268" width="37" style="173" customWidth="1"/>
    <col min="9269" max="9287" width="36.85546875" style="173" customWidth="1"/>
    <col min="9288" max="9288" width="37" style="173" customWidth="1"/>
    <col min="9289" max="9306" width="36.85546875" style="173" customWidth="1"/>
    <col min="9307" max="9307" width="36.5703125" style="173" customWidth="1"/>
    <col min="9308" max="9320" width="36.85546875" style="173" customWidth="1"/>
    <col min="9321" max="9321" width="36.5703125" style="173" customWidth="1"/>
    <col min="9322" max="9324" width="36.85546875" style="173" customWidth="1"/>
    <col min="9325" max="9325" width="36.5703125" style="173" customWidth="1"/>
    <col min="9326" max="9333" width="36.85546875" style="173" customWidth="1"/>
    <col min="9334" max="9334" width="36.5703125" style="173" customWidth="1"/>
    <col min="9335" max="9472" width="36.85546875" style="173"/>
    <col min="9473" max="9473" width="18.5703125" style="173" customWidth="1"/>
    <col min="9474" max="9482" width="31.42578125" style="173" customWidth="1"/>
    <col min="9483" max="9499" width="36.85546875" style="173" customWidth="1"/>
    <col min="9500" max="9500" width="37" style="173" customWidth="1"/>
    <col min="9501" max="9516" width="36.85546875" style="173" customWidth="1"/>
    <col min="9517" max="9517" width="37.140625" style="173" customWidth="1"/>
    <col min="9518" max="9519" width="36.85546875" style="173" customWidth="1"/>
    <col min="9520" max="9520" width="36.5703125" style="173" customWidth="1"/>
    <col min="9521" max="9522" width="36.85546875" style="173" customWidth="1"/>
    <col min="9523" max="9523" width="36.5703125" style="173" customWidth="1"/>
    <col min="9524" max="9524" width="37" style="173" customWidth="1"/>
    <col min="9525" max="9543" width="36.85546875" style="173" customWidth="1"/>
    <col min="9544" max="9544" width="37" style="173" customWidth="1"/>
    <col min="9545" max="9562" width="36.85546875" style="173" customWidth="1"/>
    <col min="9563" max="9563" width="36.5703125" style="173" customWidth="1"/>
    <col min="9564" max="9576" width="36.85546875" style="173" customWidth="1"/>
    <col min="9577" max="9577" width="36.5703125" style="173" customWidth="1"/>
    <col min="9578" max="9580" width="36.85546875" style="173" customWidth="1"/>
    <col min="9581" max="9581" width="36.5703125" style="173" customWidth="1"/>
    <col min="9582" max="9589" width="36.85546875" style="173" customWidth="1"/>
    <col min="9590" max="9590" width="36.5703125" style="173" customWidth="1"/>
    <col min="9591" max="9728" width="36.85546875" style="173"/>
    <col min="9729" max="9729" width="18.5703125" style="173" customWidth="1"/>
    <col min="9730" max="9738" width="31.42578125" style="173" customWidth="1"/>
    <col min="9739" max="9755" width="36.85546875" style="173" customWidth="1"/>
    <col min="9756" max="9756" width="37" style="173" customWidth="1"/>
    <col min="9757" max="9772" width="36.85546875" style="173" customWidth="1"/>
    <col min="9773" max="9773" width="37.140625" style="173" customWidth="1"/>
    <col min="9774" max="9775" width="36.85546875" style="173" customWidth="1"/>
    <col min="9776" max="9776" width="36.5703125" style="173" customWidth="1"/>
    <col min="9777" max="9778" width="36.85546875" style="173" customWidth="1"/>
    <col min="9779" max="9779" width="36.5703125" style="173" customWidth="1"/>
    <col min="9780" max="9780" width="37" style="173" customWidth="1"/>
    <col min="9781" max="9799" width="36.85546875" style="173" customWidth="1"/>
    <col min="9800" max="9800" width="37" style="173" customWidth="1"/>
    <col min="9801" max="9818" width="36.85546875" style="173" customWidth="1"/>
    <col min="9819" max="9819" width="36.5703125" style="173" customWidth="1"/>
    <col min="9820" max="9832" width="36.85546875" style="173" customWidth="1"/>
    <col min="9833" max="9833" width="36.5703125" style="173" customWidth="1"/>
    <col min="9834" max="9836" width="36.85546875" style="173" customWidth="1"/>
    <col min="9837" max="9837" width="36.5703125" style="173" customWidth="1"/>
    <col min="9838" max="9845" width="36.85546875" style="173" customWidth="1"/>
    <col min="9846" max="9846" width="36.5703125" style="173" customWidth="1"/>
    <col min="9847" max="9984" width="36.85546875" style="173"/>
    <col min="9985" max="9985" width="18.5703125" style="173" customWidth="1"/>
    <col min="9986" max="9994" width="31.42578125" style="173" customWidth="1"/>
    <col min="9995" max="10011" width="36.85546875" style="173" customWidth="1"/>
    <col min="10012" max="10012" width="37" style="173" customWidth="1"/>
    <col min="10013" max="10028" width="36.85546875" style="173" customWidth="1"/>
    <col min="10029" max="10029" width="37.140625" style="173" customWidth="1"/>
    <col min="10030" max="10031" width="36.85546875" style="173" customWidth="1"/>
    <col min="10032" max="10032" width="36.5703125" style="173" customWidth="1"/>
    <col min="10033" max="10034" width="36.85546875" style="173" customWidth="1"/>
    <col min="10035" max="10035" width="36.5703125" style="173" customWidth="1"/>
    <col min="10036" max="10036" width="37" style="173" customWidth="1"/>
    <col min="10037" max="10055" width="36.85546875" style="173" customWidth="1"/>
    <col min="10056" max="10056" width="37" style="173" customWidth="1"/>
    <col min="10057" max="10074" width="36.85546875" style="173" customWidth="1"/>
    <col min="10075" max="10075" width="36.5703125" style="173" customWidth="1"/>
    <col min="10076" max="10088" width="36.85546875" style="173" customWidth="1"/>
    <col min="10089" max="10089" width="36.5703125" style="173" customWidth="1"/>
    <col min="10090" max="10092" width="36.85546875" style="173" customWidth="1"/>
    <col min="10093" max="10093" width="36.5703125" style="173" customWidth="1"/>
    <col min="10094" max="10101" width="36.85546875" style="173" customWidth="1"/>
    <col min="10102" max="10102" width="36.5703125" style="173" customWidth="1"/>
    <col min="10103" max="10240" width="36.85546875" style="173"/>
    <col min="10241" max="10241" width="18.5703125" style="173" customWidth="1"/>
    <col min="10242" max="10250" width="31.42578125" style="173" customWidth="1"/>
    <col min="10251" max="10267" width="36.85546875" style="173" customWidth="1"/>
    <col min="10268" max="10268" width="37" style="173" customWidth="1"/>
    <col min="10269" max="10284" width="36.85546875" style="173" customWidth="1"/>
    <col min="10285" max="10285" width="37.140625" style="173" customWidth="1"/>
    <col min="10286" max="10287" width="36.85546875" style="173" customWidth="1"/>
    <col min="10288" max="10288" width="36.5703125" style="173" customWidth="1"/>
    <col min="10289" max="10290" width="36.85546875" style="173" customWidth="1"/>
    <col min="10291" max="10291" width="36.5703125" style="173" customWidth="1"/>
    <col min="10292" max="10292" width="37" style="173" customWidth="1"/>
    <col min="10293" max="10311" width="36.85546875" style="173" customWidth="1"/>
    <col min="10312" max="10312" width="37" style="173" customWidth="1"/>
    <col min="10313" max="10330" width="36.85546875" style="173" customWidth="1"/>
    <col min="10331" max="10331" width="36.5703125" style="173" customWidth="1"/>
    <col min="10332" max="10344" width="36.85546875" style="173" customWidth="1"/>
    <col min="10345" max="10345" width="36.5703125" style="173" customWidth="1"/>
    <col min="10346" max="10348" width="36.85546875" style="173" customWidth="1"/>
    <col min="10349" max="10349" width="36.5703125" style="173" customWidth="1"/>
    <col min="10350" max="10357" width="36.85546875" style="173" customWidth="1"/>
    <col min="10358" max="10358" width="36.5703125" style="173" customWidth="1"/>
    <col min="10359" max="10496" width="36.85546875" style="173"/>
    <col min="10497" max="10497" width="18.5703125" style="173" customWidth="1"/>
    <col min="10498" max="10506" width="31.42578125" style="173" customWidth="1"/>
    <col min="10507" max="10523" width="36.85546875" style="173" customWidth="1"/>
    <col min="10524" max="10524" width="37" style="173" customWidth="1"/>
    <col min="10525" max="10540" width="36.85546875" style="173" customWidth="1"/>
    <col min="10541" max="10541" width="37.140625" style="173" customWidth="1"/>
    <col min="10542" max="10543" width="36.85546875" style="173" customWidth="1"/>
    <col min="10544" max="10544" width="36.5703125" style="173" customWidth="1"/>
    <col min="10545" max="10546" width="36.85546875" style="173" customWidth="1"/>
    <col min="10547" max="10547" width="36.5703125" style="173" customWidth="1"/>
    <col min="10548" max="10548" width="37" style="173" customWidth="1"/>
    <col min="10549" max="10567" width="36.85546875" style="173" customWidth="1"/>
    <col min="10568" max="10568" width="37" style="173" customWidth="1"/>
    <col min="10569" max="10586" width="36.85546875" style="173" customWidth="1"/>
    <col min="10587" max="10587" width="36.5703125" style="173" customWidth="1"/>
    <col min="10588" max="10600" width="36.85546875" style="173" customWidth="1"/>
    <col min="10601" max="10601" width="36.5703125" style="173" customWidth="1"/>
    <col min="10602" max="10604" width="36.85546875" style="173" customWidth="1"/>
    <col min="10605" max="10605" width="36.5703125" style="173" customWidth="1"/>
    <col min="10606" max="10613" width="36.85546875" style="173" customWidth="1"/>
    <col min="10614" max="10614" width="36.5703125" style="173" customWidth="1"/>
    <col min="10615" max="10752" width="36.85546875" style="173"/>
    <col min="10753" max="10753" width="18.5703125" style="173" customWidth="1"/>
    <col min="10754" max="10762" width="31.42578125" style="173" customWidth="1"/>
    <col min="10763" max="10779" width="36.85546875" style="173" customWidth="1"/>
    <col min="10780" max="10780" width="37" style="173" customWidth="1"/>
    <col min="10781" max="10796" width="36.85546875" style="173" customWidth="1"/>
    <col min="10797" max="10797" width="37.140625" style="173" customWidth="1"/>
    <col min="10798" max="10799" width="36.85546875" style="173" customWidth="1"/>
    <col min="10800" max="10800" width="36.5703125" style="173" customWidth="1"/>
    <col min="10801" max="10802" width="36.85546875" style="173" customWidth="1"/>
    <col min="10803" max="10803" width="36.5703125" style="173" customWidth="1"/>
    <col min="10804" max="10804" width="37" style="173" customWidth="1"/>
    <col min="10805" max="10823" width="36.85546875" style="173" customWidth="1"/>
    <col min="10824" max="10824" width="37" style="173" customWidth="1"/>
    <col min="10825" max="10842" width="36.85546875" style="173" customWidth="1"/>
    <col min="10843" max="10843" width="36.5703125" style="173" customWidth="1"/>
    <col min="10844" max="10856" width="36.85546875" style="173" customWidth="1"/>
    <col min="10857" max="10857" width="36.5703125" style="173" customWidth="1"/>
    <col min="10858" max="10860" width="36.85546875" style="173" customWidth="1"/>
    <col min="10861" max="10861" width="36.5703125" style="173" customWidth="1"/>
    <col min="10862" max="10869" width="36.85546875" style="173" customWidth="1"/>
    <col min="10870" max="10870" width="36.5703125" style="173" customWidth="1"/>
    <col min="10871" max="11008" width="36.85546875" style="173"/>
    <col min="11009" max="11009" width="18.5703125" style="173" customWidth="1"/>
    <col min="11010" max="11018" width="31.42578125" style="173" customWidth="1"/>
    <col min="11019" max="11035" width="36.85546875" style="173" customWidth="1"/>
    <col min="11036" max="11036" width="37" style="173" customWidth="1"/>
    <col min="11037" max="11052" width="36.85546875" style="173" customWidth="1"/>
    <col min="11053" max="11053" width="37.140625" style="173" customWidth="1"/>
    <col min="11054" max="11055" width="36.85546875" style="173" customWidth="1"/>
    <col min="11056" max="11056" width="36.5703125" style="173" customWidth="1"/>
    <col min="11057" max="11058" width="36.85546875" style="173" customWidth="1"/>
    <col min="11059" max="11059" width="36.5703125" style="173" customWidth="1"/>
    <col min="11060" max="11060" width="37" style="173" customWidth="1"/>
    <col min="11061" max="11079" width="36.85546875" style="173" customWidth="1"/>
    <col min="11080" max="11080" width="37" style="173" customWidth="1"/>
    <col min="11081" max="11098" width="36.85546875" style="173" customWidth="1"/>
    <col min="11099" max="11099" width="36.5703125" style="173" customWidth="1"/>
    <col min="11100" max="11112" width="36.85546875" style="173" customWidth="1"/>
    <col min="11113" max="11113" width="36.5703125" style="173" customWidth="1"/>
    <col min="11114" max="11116" width="36.85546875" style="173" customWidth="1"/>
    <col min="11117" max="11117" width="36.5703125" style="173" customWidth="1"/>
    <col min="11118" max="11125" width="36.85546875" style="173" customWidth="1"/>
    <col min="11126" max="11126" width="36.5703125" style="173" customWidth="1"/>
    <col min="11127" max="11264" width="36.85546875" style="173"/>
    <col min="11265" max="11265" width="18.5703125" style="173" customWidth="1"/>
    <col min="11266" max="11274" width="31.42578125" style="173" customWidth="1"/>
    <col min="11275" max="11291" width="36.85546875" style="173" customWidth="1"/>
    <col min="11292" max="11292" width="37" style="173" customWidth="1"/>
    <col min="11293" max="11308" width="36.85546875" style="173" customWidth="1"/>
    <col min="11309" max="11309" width="37.140625" style="173" customWidth="1"/>
    <col min="11310" max="11311" width="36.85546875" style="173" customWidth="1"/>
    <col min="11312" max="11312" width="36.5703125" style="173" customWidth="1"/>
    <col min="11313" max="11314" width="36.85546875" style="173" customWidth="1"/>
    <col min="11315" max="11315" width="36.5703125" style="173" customWidth="1"/>
    <col min="11316" max="11316" width="37" style="173" customWidth="1"/>
    <col min="11317" max="11335" width="36.85546875" style="173" customWidth="1"/>
    <col min="11336" max="11336" width="37" style="173" customWidth="1"/>
    <col min="11337" max="11354" width="36.85546875" style="173" customWidth="1"/>
    <col min="11355" max="11355" width="36.5703125" style="173" customWidth="1"/>
    <col min="11356" max="11368" width="36.85546875" style="173" customWidth="1"/>
    <col min="11369" max="11369" width="36.5703125" style="173" customWidth="1"/>
    <col min="11370" max="11372" width="36.85546875" style="173" customWidth="1"/>
    <col min="11373" max="11373" width="36.5703125" style="173" customWidth="1"/>
    <col min="11374" max="11381" width="36.85546875" style="173" customWidth="1"/>
    <col min="11382" max="11382" width="36.5703125" style="173" customWidth="1"/>
    <col min="11383" max="11520" width="36.85546875" style="173"/>
    <col min="11521" max="11521" width="18.5703125" style="173" customWidth="1"/>
    <col min="11522" max="11530" width="31.42578125" style="173" customWidth="1"/>
    <col min="11531" max="11547" width="36.85546875" style="173" customWidth="1"/>
    <col min="11548" max="11548" width="37" style="173" customWidth="1"/>
    <col min="11549" max="11564" width="36.85546875" style="173" customWidth="1"/>
    <col min="11565" max="11565" width="37.140625" style="173" customWidth="1"/>
    <col min="11566" max="11567" width="36.85546875" style="173" customWidth="1"/>
    <col min="11568" max="11568" width="36.5703125" style="173" customWidth="1"/>
    <col min="11569" max="11570" width="36.85546875" style="173" customWidth="1"/>
    <col min="11571" max="11571" width="36.5703125" style="173" customWidth="1"/>
    <col min="11572" max="11572" width="37" style="173" customWidth="1"/>
    <col min="11573" max="11591" width="36.85546875" style="173" customWidth="1"/>
    <col min="11592" max="11592" width="37" style="173" customWidth="1"/>
    <col min="11593" max="11610" width="36.85546875" style="173" customWidth="1"/>
    <col min="11611" max="11611" width="36.5703125" style="173" customWidth="1"/>
    <col min="11612" max="11624" width="36.85546875" style="173" customWidth="1"/>
    <col min="11625" max="11625" width="36.5703125" style="173" customWidth="1"/>
    <col min="11626" max="11628" width="36.85546875" style="173" customWidth="1"/>
    <col min="11629" max="11629" width="36.5703125" style="173" customWidth="1"/>
    <col min="11630" max="11637" width="36.85546875" style="173" customWidth="1"/>
    <col min="11638" max="11638" width="36.5703125" style="173" customWidth="1"/>
    <col min="11639" max="11776" width="36.85546875" style="173"/>
    <col min="11777" max="11777" width="18.5703125" style="173" customWidth="1"/>
    <col min="11778" max="11786" width="31.42578125" style="173" customWidth="1"/>
    <col min="11787" max="11803" width="36.85546875" style="173" customWidth="1"/>
    <col min="11804" max="11804" width="37" style="173" customWidth="1"/>
    <col min="11805" max="11820" width="36.85546875" style="173" customWidth="1"/>
    <col min="11821" max="11821" width="37.140625" style="173" customWidth="1"/>
    <col min="11822" max="11823" width="36.85546875" style="173" customWidth="1"/>
    <col min="11824" max="11824" width="36.5703125" style="173" customWidth="1"/>
    <col min="11825" max="11826" width="36.85546875" style="173" customWidth="1"/>
    <col min="11827" max="11827" width="36.5703125" style="173" customWidth="1"/>
    <col min="11828" max="11828" width="37" style="173" customWidth="1"/>
    <col min="11829" max="11847" width="36.85546875" style="173" customWidth="1"/>
    <col min="11848" max="11848" width="37" style="173" customWidth="1"/>
    <col min="11849" max="11866" width="36.85546875" style="173" customWidth="1"/>
    <col min="11867" max="11867" width="36.5703125" style="173" customWidth="1"/>
    <col min="11868" max="11880" width="36.85546875" style="173" customWidth="1"/>
    <col min="11881" max="11881" width="36.5703125" style="173" customWidth="1"/>
    <col min="11882" max="11884" width="36.85546875" style="173" customWidth="1"/>
    <col min="11885" max="11885" width="36.5703125" style="173" customWidth="1"/>
    <col min="11886" max="11893" width="36.85546875" style="173" customWidth="1"/>
    <col min="11894" max="11894" width="36.5703125" style="173" customWidth="1"/>
    <col min="11895" max="12032" width="36.85546875" style="173"/>
    <col min="12033" max="12033" width="18.5703125" style="173" customWidth="1"/>
    <col min="12034" max="12042" width="31.42578125" style="173" customWidth="1"/>
    <col min="12043" max="12059" width="36.85546875" style="173" customWidth="1"/>
    <col min="12060" max="12060" width="37" style="173" customWidth="1"/>
    <col min="12061" max="12076" width="36.85546875" style="173" customWidth="1"/>
    <col min="12077" max="12077" width="37.140625" style="173" customWidth="1"/>
    <col min="12078" max="12079" width="36.85546875" style="173" customWidth="1"/>
    <col min="12080" max="12080" width="36.5703125" style="173" customWidth="1"/>
    <col min="12081" max="12082" width="36.85546875" style="173" customWidth="1"/>
    <col min="12083" max="12083" width="36.5703125" style="173" customWidth="1"/>
    <col min="12084" max="12084" width="37" style="173" customWidth="1"/>
    <col min="12085" max="12103" width="36.85546875" style="173" customWidth="1"/>
    <col min="12104" max="12104" width="37" style="173" customWidth="1"/>
    <col min="12105" max="12122" width="36.85546875" style="173" customWidth="1"/>
    <col min="12123" max="12123" width="36.5703125" style="173" customWidth="1"/>
    <col min="12124" max="12136" width="36.85546875" style="173" customWidth="1"/>
    <col min="12137" max="12137" width="36.5703125" style="173" customWidth="1"/>
    <col min="12138" max="12140" width="36.85546875" style="173" customWidth="1"/>
    <col min="12141" max="12141" width="36.5703125" style="173" customWidth="1"/>
    <col min="12142" max="12149" width="36.85546875" style="173" customWidth="1"/>
    <col min="12150" max="12150" width="36.5703125" style="173" customWidth="1"/>
    <col min="12151" max="12288" width="36.85546875" style="173"/>
    <col min="12289" max="12289" width="18.5703125" style="173" customWidth="1"/>
    <col min="12290" max="12298" width="31.42578125" style="173" customWidth="1"/>
    <col min="12299" max="12315" width="36.85546875" style="173" customWidth="1"/>
    <col min="12316" max="12316" width="37" style="173" customWidth="1"/>
    <col min="12317" max="12332" width="36.85546875" style="173" customWidth="1"/>
    <col min="12333" max="12333" width="37.140625" style="173" customWidth="1"/>
    <col min="12334" max="12335" width="36.85546875" style="173" customWidth="1"/>
    <col min="12336" max="12336" width="36.5703125" style="173" customWidth="1"/>
    <col min="12337" max="12338" width="36.85546875" style="173" customWidth="1"/>
    <col min="12339" max="12339" width="36.5703125" style="173" customWidth="1"/>
    <col min="12340" max="12340" width="37" style="173" customWidth="1"/>
    <col min="12341" max="12359" width="36.85546875" style="173" customWidth="1"/>
    <col min="12360" max="12360" width="37" style="173" customWidth="1"/>
    <col min="12361" max="12378" width="36.85546875" style="173" customWidth="1"/>
    <col min="12379" max="12379" width="36.5703125" style="173" customWidth="1"/>
    <col min="12380" max="12392" width="36.85546875" style="173" customWidth="1"/>
    <col min="12393" max="12393" width="36.5703125" style="173" customWidth="1"/>
    <col min="12394" max="12396" width="36.85546875" style="173" customWidth="1"/>
    <col min="12397" max="12397" width="36.5703125" style="173" customWidth="1"/>
    <col min="12398" max="12405" width="36.85546875" style="173" customWidth="1"/>
    <col min="12406" max="12406" width="36.5703125" style="173" customWidth="1"/>
    <col min="12407" max="12544" width="36.85546875" style="173"/>
    <col min="12545" max="12545" width="18.5703125" style="173" customWidth="1"/>
    <col min="12546" max="12554" width="31.42578125" style="173" customWidth="1"/>
    <col min="12555" max="12571" width="36.85546875" style="173" customWidth="1"/>
    <col min="12572" max="12572" width="37" style="173" customWidth="1"/>
    <col min="12573" max="12588" width="36.85546875" style="173" customWidth="1"/>
    <col min="12589" max="12589" width="37.140625" style="173" customWidth="1"/>
    <col min="12590" max="12591" width="36.85546875" style="173" customWidth="1"/>
    <col min="12592" max="12592" width="36.5703125" style="173" customWidth="1"/>
    <col min="12593" max="12594" width="36.85546875" style="173" customWidth="1"/>
    <col min="12595" max="12595" width="36.5703125" style="173" customWidth="1"/>
    <col min="12596" max="12596" width="37" style="173" customWidth="1"/>
    <col min="12597" max="12615" width="36.85546875" style="173" customWidth="1"/>
    <col min="12616" max="12616" width="37" style="173" customWidth="1"/>
    <col min="12617" max="12634" width="36.85546875" style="173" customWidth="1"/>
    <col min="12635" max="12635" width="36.5703125" style="173" customWidth="1"/>
    <col min="12636" max="12648" width="36.85546875" style="173" customWidth="1"/>
    <col min="12649" max="12649" width="36.5703125" style="173" customWidth="1"/>
    <col min="12650" max="12652" width="36.85546875" style="173" customWidth="1"/>
    <col min="12653" max="12653" width="36.5703125" style="173" customWidth="1"/>
    <col min="12654" max="12661" width="36.85546875" style="173" customWidth="1"/>
    <col min="12662" max="12662" width="36.5703125" style="173" customWidth="1"/>
    <col min="12663" max="12800" width="36.85546875" style="173"/>
    <col min="12801" max="12801" width="18.5703125" style="173" customWidth="1"/>
    <col min="12802" max="12810" width="31.42578125" style="173" customWidth="1"/>
    <col min="12811" max="12827" width="36.85546875" style="173" customWidth="1"/>
    <col min="12828" max="12828" width="37" style="173" customWidth="1"/>
    <col min="12829" max="12844" width="36.85546875" style="173" customWidth="1"/>
    <col min="12845" max="12845" width="37.140625" style="173" customWidth="1"/>
    <col min="12846" max="12847" width="36.85546875" style="173" customWidth="1"/>
    <col min="12848" max="12848" width="36.5703125" style="173" customWidth="1"/>
    <col min="12849" max="12850" width="36.85546875" style="173" customWidth="1"/>
    <col min="12851" max="12851" width="36.5703125" style="173" customWidth="1"/>
    <col min="12852" max="12852" width="37" style="173" customWidth="1"/>
    <col min="12853" max="12871" width="36.85546875" style="173" customWidth="1"/>
    <col min="12872" max="12872" width="37" style="173" customWidth="1"/>
    <col min="12873" max="12890" width="36.85546875" style="173" customWidth="1"/>
    <col min="12891" max="12891" width="36.5703125" style="173" customWidth="1"/>
    <col min="12892" max="12904" width="36.85546875" style="173" customWidth="1"/>
    <col min="12905" max="12905" width="36.5703125" style="173" customWidth="1"/>
    <col min="12906" max="12908" width="36.85546875" style="173" customWidth="1"/>
    <col min="12909" max="12909" width="36.5703125" style="173" customWidth="1"/>
    <col min="12910" max="12917" width="36.85546875" style="173" customWidth="1"/>
    <col min="12918" max="12918" width="36.5703125" style="173" customWidth="1"/>
    <col min="12919" max="13056" width="36.85546875" style="173"/>
    <col min="13057" max="13057" width="18.5703125" style="173" customWidth="1"/>
    <col min="13058" max="13066" width="31.42578125" style="173" customWidth="1"/>
    <col min="13067" max="13083" width="36.85546875" style="173" customWidth="1"/>
    <col min="13084" max="13084" width="37" style="173" customWidth="1"/>
    <col min="13085" max="13100" width="36.85546875" style="173" customWidth="1"/>
    <col min="13101" max="13101" width="37.140625" style="173" customWidth="1"/>
    <col min="13102" max="13103" width="36.85546875" style="173" customWidth="1"/>
    <col min="13104" max="13104" width="36.5703125" style="173" customWidth="1"/>
    <col min="13105" max="13106" width="36.85546875" style="173" customWidth="1"/>
    <col min="13107" max="13107" width="36.5703125" style="173" customWidth="1"/>
    <col min="13108" max="13108" width="37" style="173" customWidth="1"/>
    <col min="13109" max="13127" width="36.85546875" style="173" customWidth="1"/>
    <col min="13128" max="13128" width="37" style="173" customWidth="1"/>
    <col min="13129" max="13146" width="36.85546875" style="173" customWidth="1"/>
    <col min="13147" max="13147" width="36.5703125" style="173" customWidth="1"/>
    <col min="13148" max="13160" width="36.85546875" style="173" customWidth="1"/>
    <col min="13161" max="13161" width="36.5703125" style="173" customWidth="1"/>
    <col min="13162" max="13164" width="36.85546875" style="173" customWidth="1"/>
    <col min="13165" max="13165" width="36.5703125" style="173" customWidth="1"/>
    <col min="13166" max="13173" width="36.85546875" style="173" customWidth="1"/>
    <col min="13174" max="13174" width="36.5703125" style="173" customWidth="1"/>
    <col min="13175" max="13312" width="36.85546875" style="173"/>
    <col min="13313" max="13313" width="18.5703125" style="173" customWidth="1"/>
    <col min="13314" max="13322" width="31.42578125" style="173" customWidth="1"/>
    <col min="13323" max="13339" width="36.85546875" style="173" customWidth="1"/>
    <col min="13340" max="13340" width="37" style="173" customWidth="1"/>
    <col min="13341" max="13356" width="36.85546875" style="173" customWidth="1"/>
    <col min="13357" max="13357" width="37.140625" style="173" customWidth="1"/>
    <col min="13358" max="13359" width="36.85546875" style="173" customWidth="1"/>
    <col min="13360" max="13360" width="36.5703125" style="173" customWidth="1"/>
    <col min="13361" max="13362" width="36.85546875" style="173" customWidth="1"/>
    <col min="13363" max="13363" width="36.5703125" style="173" customWidth="1"/>
    <col min="13364" max="13364" width="37" style="173" customWidth="1"/>
    <col min="13365" max="13383" width="36.85546875" style="173" customWidth="1"/>
    <col min="13384" max="13384" width="37" style="173" customWidth="1"/>
    <col min="13385" max="13402" width="36.85546875" style="173" customWidth="1"/>
    <col min="13403" max="13403" width="36.5703125" style="173" customWidth="1"/>
    <col min="13404" max="13416" width="36.85546875" style="173" customWidth="1"/>
    <col min="13417" max="13417" width="36.5703125" style="173" customWidth="1"/>
    <col min="13418" max="13420" width="36.85546875" style="173" customWidth="1"/>
    <col min="13421" max="13421" width="36.5703125" style="173" customWidth="1"/>
    <col min="13422" max="13429" width="36.85546875" style="173" customWidth="1"/>
    <col min="13430" max="13430" width="36.5703125" style="173" customWidth="1"/>
    <col min="13431" max="13568" width="36.85546875" style="173"/>
    <col min="13569" max="13569" width="18.5703125" style="173" customWidth="1"/>
    <col min="13570" max="13578" width="31.42578125" style="173" customWidth="1"/>
    <col min="13579" max="13595" width="36.85546875" style="173" customWidth="1"/>
    <col min="13596" max="13596" width="37" style="173" customWidth="1"/>
    <col min="13597" max="13612" width="36.85546875" style="173" customWidth="1"/>
    <col min="13613" max="13613" width="37.140625" style="173" customWidth="1"/>
    <col min="13614" max="13615" width="36.85546875" style="173" customWidth="1"/>
    <col min="13616" max="13616" width="36.5703125" style="173" customWidth="1"/>
    <col min="13617" max="13618" width="36.85546875" style="173" customWidth="1"/>
    <col min="13619" max="13619" width="36.5703125" style="173" customWidth="1"/>
    <col min="13620" max="13620" width="37" style="173" customWidth="1"/>
    <col min="13621" max="13639" width="36.85546875" style="173" customWidth="1"/>
    <col min="13640" max="13640" width="37" style="173" customWidth="1"/>
    <col min="13641" max="13658" width="36.85546875" style="173" customWidth="1"/>
    <col min="13659" max="13659" width="36.5703125" style="173" customWidth="1"/>
    <col min="13660" max="13672" width="36.85546875" style="173" customWidth="1"/>
    <col min="13673" max="13673" width="36.5703125" style="173" customWidth="1"/>
    <col min="13674" max="13676" width="36.85546875" style="173" customWidth="1"/>
    <col min="13677" max="13677" width="36.5703125" style="173" customWidth="1"/>
    <col min="13678" max="13685" width="36.85546875" style="173" customWidth="1"/>
    <col min="13686" max="13686" width="36.5703125" style="173" customWidth="1"/>
    <col min="13687" max="13824" width="36.85546875" style="173"/>
    <col min="13825" max="13825" width="18.5703125" style="173" customWidth="1"/>
    <col min="13826" max="13834" width="31.42578125" style="173" customWidth="1"/>
    <col min="13835" max="13851" width="36.85546875" style="173" customWidth="1"/>
    <col min="13852" max="13852" width="37" style="173" customWidth="1"/>
    <col min="13853" max="13868" width="36.85546875" style="173" customWidth="1"/>
    <col min="13869" max="13869" width="37.140625" style="173" customWidth="1"/>
    <col min="13870" max="13871" width="36.85546875" style="173" customWidth="1"/>
    <col min="13872" max="13872" width="36.5703125" style="173" customWidth="1"/>
    <col min="13873" max="13874" width="36.85546875" style="173" customWidth="1"/>
    <col min="13875" max="13875" width="36.5703125" style="173" customWidth="1"/>
    <col min="13876" max="13876" width="37" style="173" customWidth="1"/>
    <col min="13877" max="13895" width="36.85546875" style="173" customWidth="1"/>
    <col min="13896" max="13896" width="37" style="173" customWidth="1"/>
    <col min="13897" max="13914" width="36.85546875" style="173" customWidth="1"/>
    <col min="13915" max="13915" width="36.5703125" style="173" customWidth="1"/>
    <col min="13916" max="13928" width="36.85546875" style="173" customWidth="1"/>
    <col min="13929" max="13929" width="36.5703125" style="173" customWidth="1"/>
    <col min="13930" max="13932" width="36.85546875" style="173" customWidth="1"/>
    <col min="13933" max="13933" width="36.5703125" style="173" customWidth="1"/>
    <col min="13934" max="13941" width="36.85546875" style="173" customWidth="1"/>
    <col min="13942" max="13942" width="36.5703125" style="173" customWidth="1"/>
    <col min="13943" max="14080" width="36.85546875" style="173"/>
    <col min="14081" max="14081" width="18.5703125" style="173" customWidth="1"/>
    <col min="14082" max="14090" width="31.42578125" style="173" customWidth="1"/>
    <col min="14091" max="14107" width="36.85546875" style="173" customWidth="1"/>
    <col min="14108" max="14108" width="37" style="173" customWidth="1"/>
    <col min="14109" max="14124" width="36.85546875" style="173" customWidth="1"/>
    <col min="14125" max="14125" width="37.140625" style="173" customWidth="1"/>
    <col min="14126" max="14127" width="36.85546875" style="173" customWidth="1"/>
    <col min="14128" max="14128" width="36.5703125" style="173" customWidth="1"/>
    <col min="14129" max="14130" width="36.85546875" style="173" customWidth="1"/>
    <col min="14131" max="14131" width="36.5703125" style="173" customWidth="1"/>
    <col min="14132" max="14132" width="37" style="173" customWidth="1"/>
    <col min="14133" max="14151" width="36.85546875" style="173" customWidth="1"/>
    <col min="14152" max="14152" width="37" style="173" customWidth="1"/>
    <col min="14153" max="14170" width="36.85546875" style="173" customWidth="1"/>
    <col min="14171" max="14171" width="36.5703125" style="173" customWidth="1"/>
    <col min="14172" max="14184" width="36.85546875" style="173" customWidth="1"/>
    <col min="14185" max="14185" width="36.5703125" style="173" customWidth="1"/>
    <col min="14186" max="14188" width="36.85546875" style="173" customWidth="1"/>
    <col min="14189" max="14189" width="36.5703125" style="173" customWidth="1"/>
    <col min="14190" max="14197" width="36.85546875" style="173" customWidth="1"/>
    <col min="14198" max="14198" width="36.5703125" style="173" customWidth="1"/>
    <col min="14199" max="14336" width="36.85546875" style="173"/>
    <col min="14337" max="14337" width="18.5703125" style="173" customWidth="1"/>
    <col min="14338" max="14346" width="31.42578125" style="173" customWidth="1"/>
    <col min="14347" max="14363" width="36.85546875" style="173" customWidth="1"/>
    <col min="14364" max="14364" width="37" style="173" customWidth="1"/>
    <col min="14365" max="14380" width="36.85546875" style="173" customWidth="1"/>
    <col min="14381" max="14381" width="37.140625" style="173" customWidth="1"/>
    <col min="14382" max="14383" width="36.85546875" style="173" customWidth="1"/>
    <col min="14384" max="14384" width="36.5703125" style="173" customWidth="1"/>
    <col min="14385" max="14386" width="36.85546875" style="173" customWidth="1"/>
    <col min="14387" max="14387" width="36.5703125" style="173" customWidth="1"/>
    <col min="14388" max="14388" width="37" style="173" customWidth="1"/>
    <col min="14389" max="14407" width="36.85546875" style="173" customWidth="1"/>
    <col min="14408" max="14408" width="37" style="173" customWidth="1"/>
    <col min="14409" max="14426" width="36.85546875" style="173" customWidth="1"/>
    <col min="14427" max="14427" width="36.5703125" style="173" customWidth="1"/>
    <col min="14428" max="14440" width="36.85546875" style="173" customWidth="1"/>
    <col min="14441" max="14441" width="36.5703125" style="173" customWidth="1"/>
    <col min="14442" max="14444" width="36.85546875" style="173" customWidth="1"/>
    <col min="14445" max="14445" width="36.5703125" style="173" customWidth="1"/>
    <col min="14446" max="14453" width="36.85546875" style="173" customWidth="1"/>
    <col min="14454" max="14454" width="36.5703125" style="173" customWidth="1"/>
    <col min="14455" max="14592" width="36.85546875" style="173"/>
    <col min="14593" max="14593" width="18.5703125" style="173" customWidth="1"/>
    <col min="14594" max="14602" width="31.42578125" style="173" customWidth="1"/>
    <col min="14603" max="14619" width="36.85546875" style="173" customWidth="1"/>
    <col min="14620" max="14620" width="37" style="173" customWidth="1"/>
    <col min="14621" max="14636" width="36.85546875" style="173" customWidth="1"/>
    <col min="14637" max="14637" width="37.140625" style="173" customWidth="1"/>
    <col min="14638" max="14639" width="36.85546875" style="173" customWidth="1"/>
    <col min="14640" max="14640" width="36.5703125" style="173" customWidth="1"/>
    <col min="14641" max="14642" width="36.85546875" style="173" customWidth="1"/>
    <col min="14643" max="14643" width="36.5703125" style="173" customWidth="1"/>
    <col min="14644" max="14644" width="37" style="173" customWidth="1"/>
    <col min="14645" max="14663" width="36.85546875" style="173" customWidth="1"/>
    <col min="14664" max="14664" width="37" style="173" customWidth="1"/>
    <col min="14665" max="14682" width="36.85546875" style="173" customWidth="1"/>
    <col min="14683" max="14683" width="36.5703125" style="173" customWidth="1"/>
    <col min="14684" max="14696" width="36.85546875" style="173" customWidth="1"/>
    <col min="14697" max="14697" width="36.5703125" style="173" customWidth="1"/>
    <col min="14698" max="14700" width="36.85546875" style="173" customWidth="1"/>
    <col min="14701" max="14701" width="36.5703125" style="173" customWidth="1"/>
    <col min="14702" max="14709" width="36.85546875" style="173" customWidth="1"/>
    <col min="14710" max="14710" width="36.5703125" style="173" customWidth="1"/>
    <col min="14711" max="14848" width="36.85546875" style="173"/>
    <col min="14849" max="14849" width="18.5703125" style="173" customWidth="1"/>
    <col min="14850" max="14858" width="31.42578125" style="173" customWidth="1"/>
    <col min="14859" max="14875" width="36.85546875" style="173" customWidth="1"/>
    <col min="14876" max="14876" width="37" style="173" customWidth="1"/>
    <col min="14877" max="14892" width="36.85546875" style="173" customWidth="1"/>
    <col min="14893" max="14893" width="37.140625" style="173" customWidth="1"/>
    <col min="14894" max="14895" width="36.85546875" style="173" customWidth="1"/>
    <col min="14896" max="14896" width="36.5703125" style="173" customWidth="1"/>
    <col min="14897" max="14898" width="36.85546875" style="173" customWidth="1"/>
    <col min="14899" max="14899" width="36.5703125" style="173" customWidth="1"/>
    <col min="14900" max="14900" width="37" style="173" customWidth="1"/>
    <col min="14901" max="14919" width="36.85546875" style="173" customWidth="1"/>
    <col min="14920" max="14920" width="37" style="173" customWidth="1"/>
    <col min="14921" max="14938" width="36.85546875" style="173" customWidth="1"/>
    <col min="14939" max="14939" width="36.5703125" style="173" customWidth="1"/>
    <col min="14940" max="14952" width="36.85546875" style="173" customWidth="1"/>
    <col min="14953" max="14953" width="36.5703125" style="173" customWidth="1"/>
    <col min="14954" max="14956" width="36.85546875" style="173" customWidth="1"/>
    <col min="14957" max="14957" width="36.5703125" style="173" customWidth="1"/>
    <col min="14958" max="14965" width="36.85546875" style="173" customWidth="1"/>
    <col min="14966" max="14966" width="36.5703125" style="173" customWidth="1"/>
    <col min="14967" max="15104" width="36.85546875" style="173"/>
    <col min="15105" max="15105" width="18.5703125" style="173" customWidth="1"/>
    <col min="15106" max="15114" width="31.42578125" style="173" customWidth="1"/>
    <col min="15115" max="15131" width="36.85546875" style="173" customWidth="1"/>
    <col min="15132" max="15132" width="37" style="173" customWidth="1"/>
    <col min="15133" max="15148" width="36.85546875" style="173" customWidth="1"/>
    <col min="15149" max="15149" width="37.140625" style="173" customWidth="1"/>
    <col min="15150" max="15151" width="36.85546875" style="173" customWidth="1"/>
    <col min="15152" max="15152" width="36.5703125" style="173" customWidth="1"/>
    <col min="15153" max="15154" width="36.85546875" style="173" customWidth="1"/>
    <col min="15155" max="15155" width="36.5703125" style="173" customWidth="1"/>
    <col min="15156" max="15156" width="37" style="173" customWidth="1"/>
    <col min="15157" max="15175" width="36.85546875" style="173" customWidth="1"/>
    <col min="15176" max="15176" width="37" style="173" customWidth="1"/>
    <col min="15177" max="15194" width="36.85546875" style="173" customWidth="1"/>
    <col min="15195" max="15195" width="36.5703125" style="173" customWidth="1"/>
    <col min="15196" max="15208" width="36.85546875" style="173" customWidth="1"/>
    <col min="15209" max="15209" width="36.5703125" style="173" customWidth="1"/>
    <col min="15210" max="15212" width="36.85546875" style="173" customWidth="1"/>
    <col min="15213" max="15213" width="36.5703125" style="173" customWidth="1"/>
    <col min="15214" max="15221" width="36.85546875" style="173" customWidth="1"/>
    <col min="15222" max="15222" width="36.5703125" style="173" customWidth="1"/>
    <col min="15223" max="15360" width="36.85546875" style="173"/>
    <col min="15361" max="15361" width="18.5703125" style="173" customWidth="1"/>
    <col min="15362" max="15370" width="31.42578125" style="173" customWidth="1"/>
    <col min="15371" max="15387" width="36.85546875" style="173" customWidth="1"/>
    <col min="15388" max="15388" width="37" style="173" customWidth="1"/>
    <col min="15389" max="15404" width="36.85546875" style="173" customWidth="1"/>
    <col min="15405" max="15405" width="37.140625" style="173" customWidth="1"/>
    <col min="15406" max="15407" width="36.85546875" style="173" customWidth="1"/>
    <col min="15408" max="15408" width="36.5703125" style="173" customWidth="1"/>
    <col min="15409" max="15410" width="36.85546875" style="173" customWidth="1"/>
    <col min="15411" max="15411" width="36.5703125" style="173" customWidth="1"/>
    <col min="15412" max="15412" width="37" style="173" customWidth="1"/>
    <col min="15413" max="15431" width="36.85546875" style="173" customWidth="1"/>
    <col min="15432" max="15432" width="37" style="173" customWidth="1"/>
    <col min="15433" max="15450" width="36.85546875" style="173" customWidth="1"/>
    <col min="15451" max="15451" width="36.5703125" style="173" customWidth="1"/>
    <col min="15452" max="15464" width="36.85546875" style="173" customWidth="1"/>
    <col min="15465" max="15465" width="36.5703125" style="173" customWidth="1"/>
    <col min="15466" max="15468" width="36.85546875" style="173" customWidth="1"/>
    <col min="15469" max="15469" width="36.5703125" style="173" customWidth="1"/>
    <col min="15470" max="15477" width="36.85546875" style="173" customWidth="1"/>
    <col min="15478" max="15478" width="36.5703125" style="173" customWidth="1"/>
    <col min="15479" max="15616" width="36.85546875" style="173"/>
    <col min="15617" max="15617" width="18.5703125" style="173" customWidth="1"/>
    <col min="15618" max="15626" width="31.42578125" style="173" customWidth="1"/>
    <col min="15627" max="15643" width="36.85546875" style="173" customWidth="1"/>
    <col min="15644" max="15644" width="37" style="173" customWidth="1"/>
    <col min="15645" max="15660" width="36.85546875" style="173" customWidth="1"/>
    <col min="15661" max="15661" width="37.140625" style="173" customWidth="1"/>
    <col min="15662" max="15663" width="36.85546875" style="173" customWidth="1"/>
    <col min="15664" max="15664" width="36.5703125" style="173" customWidth="1"/>
    <col min="15665" max="15666" width="36.85546875" style="173" customWidth="1"/>
    <col min="15667" max="15667" width="36.5703125" style="173" customWidth="1"/>
    <col min="15668" max="15668" width="37" style="173" customWidth="1"/>
    <col min="15669" max="15687" width="36.85546875" style="173" customWidth="1"/>
    <col min="15688" max="15688" width="37" style="173" customWidth="1"/>
    <col min="15689" max="15706" width="36.85546875" style="173" customWidth="1"/>
    <col min="15707" max="15707" width="36.5703125" style="173" customWidth="1"/>
    <col min="15708" max="15720" width="36.85546875" style="173" customWidth="1"/>
    <col min="15721" max="15721" width="36.5703125" style="173" customWidth="1"/>
    <col min="15722" max="15724" width="36.85546875" style="173" customWidth="1"/>
    <col min="15725" max="15725" width="36.5703125" style="173" customWidth="1"/>
    <col min="15726" max="15733" width="36.85546875" style="173" customWidth="1"/>
    <col min="15734" max="15734" width="36.5703125" style="173" customWidth="1"/>
    <col min="15735" max="15872" width="36.85546875" style="173"/>
    <col min="15873" max="15873" width="18.5703125" style="173" customWidth="1"/>
    <col min="15874" max="15882" width="31.42578125" style="173" customWidth="1"/>
    <col min="15883" max="15899" width="36.85546875" style="173" customWidth="1"/>
    <col min="15900" max="15900" width="37" style="173" customWidth="1"/>
    <col min="15901" max="15916" width="36.85546875" style="173" customWidth="1"/>
    <col min="15917" max="15917" width="37.140625" style="173" customWidth="1"/>
    <col min="15918" max="15919" width="36.85546875" style="173" customWidth="1"/>
    <col min="15920" max="15920" width="36.5703125" style="173" customWidth="1"/>
    <col min="15921" max="15922" width="36.85546875" style="173" customWidth="1"/>
    <col min="15923" max="15923" width="36.5703125" style="173" customWidth="1"/>
    <col min="15924" max="15924" width="37" style="173" customWidth="1"/>
    <col min="15925" max="15943" width="36.85546875" style="173" customWidth="1"/>
    <col min="15944" max="15944" width="37" style="173" customWidth="1"/>
    <col min="15945" max="15962" width="36.85546875" style="173" customWidth="1"/>
    <col min="15963" max="15963" width="36.5703125" style="173" customWidth="1"/>
    <col min="15964" max="15976" width="36.85546875" style="173" customWidth="1"/>
    <col min="15977" max="15977" width="36.5703125" style="173" customWidth="1"/>
    <col min="15978" max="15980" width="36.85546875" style="173" customWidth="1"/>
    <col min="15981" max="15981" width="36.5703125" style="173" customWidth="1"/>
    <col min="15982" max="15989" width="36.85546875" style="173" customWidth="1"/>
    <col min="15990" max="15990" width="36.5703125" style="173" customWidth="1"/>
    <col min="15991" max="16128" width="36.85546875" style="173"/>
    <col min="16129" max="16129" width="18.5703125" style="173" customWidth="1"/>
    <col min="16130" max="16138" width="31.42578125" style="173" customWidth="1"/>
    <col min="16139" max="16155" width="36.85546875" style="173" customWidth="1"/>
    <col min="16156" max="16156" width="37" style="173" customWidth="1"/>
    <col min="16157" max="16172" width="36.85546875" style="173" customWidth="1"/>
    <col min="16173" max="16173" width="37.140625" style="173" customWidth="1"/>
    <col min="16174" max="16175" width="36.85546875" style="173" customWidth="1"/>
    <col min="16176" max="16176" width="36.5703125" style="173" customWidth="1"/>
    <col min="16177" max="16178" width="36.85546875" style="173" customWidth="1"/>
    <col min="16179" max="16179" width="36.5703125" style="173" customWidth="1"/>
    <col min="16180" max="16180" width="37" style="173" customWidth="1"/>
    <col min="16181" max="16199" width="36.85546875" style="173" customWidth="1"/>
    <col min="16200" max="16200" width="37" style="173" customWidth="1"/>
    <col min="16201" max="16218" width="36.85546875" style="173" customWidth="1"/>
    <col min="16219" max="16219" width="36.5703125" style="173" customWidth="1"/>
    <col min="16220" max="16232" width="36.85546875" style="173" customWidth="1"/>
    <col min="16233" max="16233" width="36.5703125" style="173" customWidth="1"/>
    <col min="16234" max="16236" width="36.85546875" style="173" customWidth="1"/>
    <col min="16237" max="16237" width="36.5703125" style="173" customWidth="1"/>
    <col min="16238" max="16245" width="36.85546875" style="173" customWidth="1"/>
    <col min="16246" max="16246" width="36.5703125" style="173" customWidth="1"/>
    <col min="16247" max="16384" width="36.85546875" style="173"/>
  </cols>
  <sheetData>
    <row r="1" spans="1:245" s="125" customFormat="1" ht="12.75" customHeight="1" x14ac:dyDescent="0.25">
      <c r="A1" s="121" t="s">
        <v>134</v>
      </c>
      <c r="B1" s="122"/>
      <c r="C1" s="123"/>
      <c r="D1" s="123"/>
      <c r="E1" s="123"/>
      <c r="F1" s="123"/>
      <c r="G1" s="123"/>
      <c r="H1" s="123"/>
      <c r="I1" s="123"/>
      <c r="J1" s="123"/>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1:245" s="129" customFormat="1" ht="12.75" customHeight="1" x14ac:dyDescent="0.25">
      <c r="A2" s="126" t="s">
        <v>135</v>
      </c>
      <c r="B2" s="127">
        <v>1</v>
      </c>
      <c r="C2" s="127">
        <v>2</v>
      </c>
      <c r="D2" s="127">
        <v>3</v>
      </c>
      <c r="E2" s="127">
        <v>4</v>
      </c>
      <c r="F2" s="127">
        <v>5</v>
      </c>
      <c r="G2" s="127">
        <v>6</v>
      </c>
      <c r="H2" s="127">
        <v>7</v>
      </c>
      <c r="I2" s="127">
        <v>8</v>
      </c>
      <c r="J2" s="127">
        <v>9</v>
      </c>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8"/>
      <c r="AK2" s="128" t="str">
        <f t="shared" ref="AK2:CV2" si="0">IF(AK3="","",AJ2+1)</f>
        <v/>
      </c>
      <c r="AL2" s="128" t="str">
        <f t="shared" si="0"/>
        <v/>
      </c>
      <c r="AM2" s="128" t="str">
        <f t="shared" si="0"/>
        <v/>
      </c>
      <c r="AN2" s="128" t="str">
        <f t="shared" si="0"/>
        <v/>
      </c>
      <c r="AO2" s="128" t="str">
        <f t="shared" si="0"/>
        <v/>
      </c>
      <c r="AP2" s="128" t="str">
        <f t="shared" si="0"/>
        <v/>
      </c>
      <c r="AQ2" s="128" t="str">
        <f t="shared" si="0"/>
        <v/>
      </c>
      <c r="AR2" s="128" t="str">
        <f t="shared" si="0"/>
        <v/>
      </c>
      <c r="AS2" s="128" t="str">
        <f t="shared" si="0"/>
        <v/>
      </c>
      <c r="AT2" s="128" t="str">
        <f t="shared" si="0"/>
        <v/>
      </c>
      <c r="AU2" s="128" t="str">
        <f t="shared" si="0"/>
        <v/>
      </c>
      <c r="AV2" s="128" t="str">
        <f t="shared" si="0"/>
        <v/>
      </c>
      <c r="AW2" s="128" t="str">
        <f t="shared" si="0"/>
        <v/>
      </c>
      <c r="AX2" s="128" t="str">
        <f t="shared" si="0"/>
        <v/>
      </c>
      <c r="AY2" s="128" t="str">
        <f t="shared" si="0"/>
        <v/>
      </c>
      <c r="AZ2" s="128" t="str">
        <f t="shared" si="0"/>
        <v/>
      </c>
      <c r="BA2" s="128" t="str">
        <f t="shared" si="0"/>
        <v/>
      </c>
      <c r="BB2" s="128" t="str">
        <f t="shared" si="0"/>
        <v/>
      </c>
      <c r="BC2" s="128" t="str">
        <f t="shared" si="0"/>
        <v/>
      </c>
      <c r="BD2" s="128" t="str">
        <f t="shared" si="0"/>
        <v/>
      </c>
      <c r="BE2" s="128" t="str">
        <f t="shared" si="0"/>
        <v/>
      </c>
      <c r="BF2" s="128" t="str">
        <f t="shared" si="0"/>
        <v/>
      </c>
      <c r="BG2" s="128" t="str">
        <f t="shared" si="0"/>
        <v/>
      </c>
      <c r="BH2" s="128" t="str">
        <f t="shared" si="0"/>
        <v/>
      </c>
      <c r="BI2" s="128" t="str">
        <f t="shared" si="0"/>
        <v/>
      </c>
      <c r="BJ2" s="128" t="str">
        <f t="shared" si="0"/>
        <v/>
      </c>
      <c r="BK2" s="128" t="str">
        <f t="shared" si="0"/>
        <v/>
      </c>
      <c r="BL2" s="128" t="str">
        <f t="shared" si="0"/>
        <v/>
      </c>
      <c r="BM2" s="128" t="str">
        <f t="shared" si="0"/>
        <v/>
      </c>
      <c r="BN2" s="128" t="str">
        <f t="shared" si="0"/>
        <v/>
      </c>
      <c r="BO2" s="128" t="str">
        <f t="shared" si="0"/>
        <v/>
      </c>
      <c r="BP2" s="128" t="str">
        <f t="shared" si="0"/>
        <v/>
      </c>
      <c r="BQ2" s="128" t="str">
        <f t="shared" si="0"/>
        <v/>
      </c>
      <c r="BR2" s="128" t="str">
        <f t="shared" si="0"/>
        <v/>
      </c>
      <c r="BS2" s="128" t="str">
        <f t="shared" si="0"/>
        <v/>
      </c>
      <c r="BT2" s="128" t="str">
        <f t="shared" si="0"/>
        <v/>
      </c>
      <c r="BU2" s="128" t="str">
        <f t="shared" si="0"/>
        <v/>
      </c>
      <c r="BV2" s="128" t="str">
        <f t="shared" si="0"/>
        <v/>
      </c>
      <c r="BW2" s="128" t="str">
        <f t="shared" si="0"/>
        <v/>
      </c>
      <c r="BX2" s="128" t="str">
        <f t="shared" si="0"/>
        <v/>
      </c>
      <c r="BY2" s="128" t="str">
        <f t="shared" si="0"/>
        <v/>
      </c>
      <c r="BZ2" s="128" t="str">
        <f t="shared" si="0"/>
        <v/>
      </c>
      <c r="CA2" s="128" t="str">
        <f t="shared" si="0"/>
        <v/>
      </c>
      <c r="CB2" s="128" t="str">
        <f t="shared" si="0"/>
        <v/>
      </c>
      <c r="CC2" s="128" t="str">
        <f t="shared" si="0"/>
        <v/>
      </c>
      <c r="CD2" s="128" t="str">
        <f t="shared" si="0"/>
        <v/>
      </c>
      <c r="CE2" s="128" t="str">
        <f t="shared" si="0"/>
        <v/>
      </c>
      <c r="CF2" s="128" t="str">
        <f t="shared" si="0"/>
        <v/>
      </c>
      <c r="CG2" s="128" t="str">
        <f t="shared" si="0"/>
        <v/>
      </c>
      <c r="CH2" s="128" t="str">
        <f t="shared" si="0"/>
        <v/>
      </c>
      <c r="CI2" s="128" t="str">
        <f t="shared" si="0"/>
        <v/>
      </c>
      <c r="CJ2" s="128" t="str">
        <f t="shared" si="0"/>
        <v/>
      </c>
      <c r="CK2" s="128" t="str">
        <f t="shared" si="0"/>
        <v/>
      </c>
      <c r="CL2" s="128" t="str">
        <f t="shared" si="0"/>
        <v/>
      </c>
      <c r="CM2" s="128" t="str">
        <f t="shared" si="0"/>
        <v/>
      </c>
      <c r="CN2" s="128" t="str">
        <f t="shared" si="0"/>
        <v/>
      </c>
      <c r="CO2" s="128" t="str">
        <f t="shared" si="0"/>
        <v/>
      </c>
      <c r="CP2" s="128" t="str">
        <f t="shared" si="0"/>
        <v/>
      </c>
      <c r="CQ2" s="128" t="str">
        <f t="shared" si="0"/>
        <v/>
      </c>
      <c r="CR2" s="128" t="str">
        <f t="shared" si="0"/>
        <v/>
      </c>
      <c r="CS2" s="128" t="str">
        <f t="shared" si="0"/>
        <v/>
      </c>
      <c r="CT2" s="128" t="str">
        <f t="shared" si="0"/>
        <v/>
      </c>
      <c r="CU2" s="128" t="str">
        <f t="shared" si="0"/>
        <v/>
      </c>
      <c r="CV2" s="128" t="str">
        <f t="shared" si="0"/>
        <v/>
      </c>
      <c r="CW2" s="128" t="str">
        <f t="shared" ref="CW2:FH2" si="1">IF(CW3="","",CV2+1)</f>
        <v/>
      </c>
      <c r="CX2" s="128" t="str">
        <f t="shared" si="1"/>
        <v/>
      </c>
      <c r="CY2" s="128" t="str">
        <f t="shared" si="1"/>
        <v/>
      </c>
      <c r="CZ2" s="128" t="str">
        <f t="shared" si="1"/>
        <v/>
      </c>
      <c r="DA2" s="128" t="str">
        <f t="shared" si="1"/>
        <v/>
      </c>
      <c r="DB2" s="128" t="str">
        <f t="shared" si="1"/>
        <v/>
      </c>
      <c r="DC2" s="128" t="str">
        <f t="shared" si="1"/>
        <v/>
      </c>
      <c r="DD2" s="128" t="str">
        <f t="shared" si="1"/>
        <v/>
      </c>
      <c r="DE2" s="128" t="str">
        <f t="shared" si="1"/>
        <v/>
      </c>
      <c r="DF2" s="128" t="str">
        <f t="shared" si="1"/>
        <v/>
      </c>
      <c r="DG2" s="128" t="str">
        <f t="shared" si="1"/>
        <v/>
      </c>
      <c r="DH2" s="128" t="str">
        <f t="shared" si="1"/>
        <v/>
      </c>
      <c r="DI2" s="128" t="str">
        <f t="shared" si="1"/>
        <v/>
      </c>
      <c r="DJ2" s="128" t="str">
        <f t="shared" si="1"/>
        <v/>
      </c>
      <c r="DK2" s="128" t="str">
        <f t="shared" si="1"/>
        <v/>
      </c>
      <c r="DL2" s="128" t="str">
        <f t="shared" si="1"/>
        <v/>
      </c>
      <c r="DM2" s="128" t="str">
        <f t="shared" si="1"/>
        <v/>
      </c>
      <c r="DN2" s="128" t="str">
        <f t="shared" si="1"/>
        <v/>
      </c>
      <c r="DO2" s="128" t="str">
        <f t="shared" si="1"/>
        <v/>
      </c>
      <c r="DP2" s="128" t="str">
        <f t="shared" si="1"/>
        <v/>
      </c>
      <c r="DQ2" s="128" t="str">
        <f t="shared" si="1"/>
        <v/>
      </c>
      <c r="DR2" s="128" t="str">
        <f t="shared" si="1"/>
        <v/>
      </c>
      <c r="DS2" s="128" t="str">
        <f t="shared" si="1"/>
        <v/>
      </c>
      <c r="DT2" s="128" t="str">
        <f t="shared" si="1"/>
        <v/>
      </c>
      <c r="DU2" s="128" t="str">
        <f t="shared" si="1"/>
        <v/>
      </c>
      <c r="DV2" s="128" t="str">
        <f t="shared" si="1"/>
        <v/>
      </c>
      <c r="DW2" s="128" t="str">
        <f t="shared" si="1"/>
        <v/>
      </c>
      <c r="DX2" s="128" t="str">
        <f t="shared" si="1"/>
        <v/>
      </c>
      <c r="DY2" s="128" t="str">
        <f t="shared" si="1"/>
        <v/>
      </c>
      <c r="DZ2" s="128" t="str">
        <f t="shared" si="1"/>
        <v/>
      </c>
      <c r="EA2" s="128" t="str">
        <f t="shared" si="1"/>
        <v/>
      </c>
      <c r="EB2" s="128" t="str">
        <f t="shared" si="1"/>
        <v/>
      </c>
      <c r="EC2" s="128" t="str">
        <f t="shared" si="1"/>
        <v/>
      </c>
      <c r="ED2" s="128" t="str">
        <f t="shared" si="1"/>
        <v/>
      </c>
      <c r="EE2" s="128" t="str">
        <f t="shared" si="1"/>
        <v/>
      </c>
      <c r="EF2" s="128" t="str">
        <f t="shared" si="1"/>
        <v/>
      </c>
      <c r="EG2" s="128" t="str">
        <f t="shared" si="1"/>
        <v/>
      </c>
      <c r="EH2" s="128" t="str">
        <f t="shared" si="1"/>
        <v/>
      </c>
      <c r="EI2" s="128" t="str">
        <f t="shared" si="1"/>
        <v/>
      </c>
      <c r="EJ2" s="128" t="str">
        <f t="shared" si="1"/>
        <v/>
      </c>
      <c r="EK2" s="128" t="str">
        <f t="shared" si="1"/>
        <v/>
      </c>
      <c r="EL2" s="128" t="str">
        <f t="shared" si="1"/>
        <v/>
      </c>
      <c r="EM2" s="128" t="str">
        <f t="shared" si="1"/>
        <v/>
      </c>
      <c r="EN2" s="128" t="str">
        <f t="shared" si="1"/>
        <v/>
      </c>
      <c r="EO2" s="128" t="str">
        <f t="shared" si="1"/>
        <v/>
      </c>
      <c r="EP2" s="128" t="str">
        <f t="shared" si="1"/>
        <v/>
      </c>
      <c r="EQ2" s="128" t="str">
        <f t="shared" si="1"/>
        <v/>
      </c>
      <c r="ER2" s="128" t="str">
        <f t="shared" si="1"/>
        <v/>
      </c>
      <c r="ES2" s="128" t="str">
        <f t="shared" si="1"/>
        <v/>
      </c>
      <c r="ET2" s="128" t="str">
        <f t="shared" si="1"/>
        <v/>
      </c>
      <c r="EU2" s="128" t="str">
        <f t="shared" si="1"/>
        <v/>
      </c>
      <c r="EV2" s="128" t="str">
        <f t="shared" si="1"/>
        <v/>
      </c>
      <c r="EW2" s="128" t="str">
        <f t="shared" si="1"/>
        <v/>
      </c>
      <c r="EX2" s="128" t="str">
        <f t="shared" si="1"/>
        <v/>
      </c>
      <c r="EY2" s="128" t="str">
        <f t="shared" si="1"/>
        <v/>
      </c>
      <c r="EZ2" s="128" t="str">
        <f t="shared" si="1"/>
        <v/>
      </c>
      <c r="FA2" s="128" t="str">
        <f t="shared" si="1"/>
        <v/>
      </c>
      <c r="FB2" s="128" t="str">
        <f t="shared" si="1"/>
        <v/>
      </c>
      <c r="FC2" s="128" t="str">
        <f t="shared" si="1"/>
        <v/>
      </c>
      <c r="FD2" s="128" t="str">
        <f t="shared" si="1"/>
        <v/>
      </c>
      <c r="FE2" s="128" t="str">
        <f t="shared" si="1"/>
        <v/>
      </c>
      <c r="FF2" s="128" t="str">
        <f t="shared" si="1"/>
        <v/>
      </c>
      <c r="FG2" s="128" t="str">
        <f t="shared" si="1"/>
        <v/>
      </c>
      <c r="FH2" s="128" t="str">
        <f t="shared" si="1"/>
        <v/>
      </c>
      <c r="FI2" s="128" t="str">
        <f t="shared" ref="FI2:HT2" si="2">IF(FI3="","",FH2+1)</f>
        <v/>
      </c>
      <c r="FJ2" s="128" t="str">
        <f t="shared" si="2"/>
        <v/>
      </c>
      <c r="FK2" s="128" t="str">
        <f t="shared" si="2"/>
        <v/>
      </c>
      <c r="FL2" s="128" t="str">
        <f t="shared" si="2"/>
        <v/>
      </c>
      <c r="FM2" s="128" t="str">
        <f t="shared" si="2"/>
        <v/>
      </c>
      <c r="FN2" s="128" t="str">
        <f t="shared" si="2"/>
        <v/>
      </c>
      <c r="FO2" s="128" t="str">
        <f t="shared" si="2"/>
        <v/>
      </c>
      <c r="FP2" s="128" t="str">
        <f t="shared" si="2"/>
        <v/>
      </c>
      <c r="FQ2" s="128" t="str">
        <f t="shared" si="2"/>
        <v/>
      </c>
      <c r="FR2" s="128" t="str">
        <f t="shared" si="2"/>
        <v/>
      </c>
      <c r="FS2" s="128" t="str">
        <f t="shared" si="2"/>
        <v/>
      </c>
      <c r="FT2" s="128" t="str">
        <f t="shared" si="2"/>
        <v/>
      </c>
      <c r="FU2" s="128" t="str">
        <f t="shared" si="2"/>
        <v/>
      </c>
      <c r="FV2" s="128" t="str">
        <f t="shared" si="2"/>
        <v/>
      </c>
      <c r="FW2" s="128" t="str">
        <f t="shared" si="2"/>
        <v/>
      </c>
      <c r="FX2" s="128" t="str">
        <f t="shared" si="2"/>
        <v/>
      </c>
      <c r="FY2" s="128" t="str">
        <f t="shared" si="2"/>
        <v/>
      </c>
      <c r="FZ2" s="128" t="str">
        <f t="shared" si="2"/>
        <v/>
      </c>
      <c r="GA2" s="128" t="str">
        <f t="shared" si="2"/>
        <v/>
      </c>
      <c r="GB2" s="128" t="str">
        <f t="shared" si="2"/>
        <v/>
      </c>
      <c r="GC2" s="128" t="str">
        <f t="shared" si="2"/>
        <v/>
      </c>
      <c r="GD2" s="128" t="str">
        <f t="shared" si="2"/>
        <v/>
      </c>
      <c r="GE2" s="128" t="str">
        <f t="shared" si="2"/>
        <v/>
      </c>
      <c r="GF2" s="128" t="str">
        <f t="shared" si="2"/>
        <v/>
      </c>
      <c r="GG2" s="128" t="str">
        <f t="shared" si="2"/>
        <v/>
      </c>
      <c r="GH2" s="128" t="str">
        <f t="shared" si="2"/>
        <v/>
      </c>
      <c r="GI2" s="128" t="str">
        <f t="shared" si="2"/>
        <v/>
      </c>
      <c r="GJ2" s="128" t="str">
        <f t="shared" si="2"/>
        <v/>
      </c>
      <c r="GK2" s="128" t="str">
        <f t="shared" si="2"/>
        <v/>
      </c>
      <c r="GL2" s="128" t="str">
        <f t="shared" si="2"/>
        <v/>
      </c>
      <c r="GM2" s="128" t="str">
        <f t="shared" si="2"/>
        <v/>
      </c>
      <c r="GN2" s="128" t="str">
        <f t="shared" si="2"/>
        <v/>
      </c>
      <c r="GO2" s="128" t="str">
        <f t="shared" si="2"/>
        <v/>
      </c>
      <c r="GP2" s="128" t="str">
        <f t="shared" si="2"/>
        <v/>
      </c>
      <c r="GQ2" s="128" t="str">
        <f t="shared" si="2"/>
        <v/>
      </c>
      <c r="GR2" s="128" t="str">
        <f t="shared" si="2"/>
        <v/>
      </c>
      <c r="GS2" s="128" t="str">
        <f t="shared" si="2"/>
        <v/>
      </c>
      <c r="GT2" s="128" t="str">
        <f t="shared" si="2"/>
        <v/>
      </c>
      <c r="GU2" s="128" t="str">
        <f t="shared" si="2"/>
        <v/>
      </c>
      <c r="GV2" s="128" t="str">
        <f t="shared" si="2"/>
        <v/>
      </c>
      <c r="GW2" s="128" t="str">
        <f t="shared" si="2"/>
        <v/>
      </c>
      <c r="GX2" s="128" t="str">
        <f t="shared" si="2"/>
        <v/>
      </c>
      <c r="GY2" s="128" t="str">
        <f t="shared" si="2"/>
        <v/>
      </c>
      <c r="GZ2" s="128" t="str">
        <f t="shared" si="2"/>
        <v/>
      </c>
      <c r="HA2" s="128" t="str">
        <f t="shared" si="2"/>
        <v/>
      </c>
      <c r="HB2" s="128" t="str">
        <f t="shared" si="2"/>
        <v/>
      </c>
      <c r="HC2" s="128" t="str">
        <f t="shared" si="2"/>
        <v/>
      </c>
      <c r="HD2" s="128" t="str">
        <f t="shared" si="2"/>
        <v/>
      </c>
      <c r="HE2" s="128" t="str">
        <f t="shared" si="2"/>
        <v/>
      </c>
      <c r="HF2" s="128" t="str">
        <f t="shared" si="2"/>
        <v/>
      </c>
      <c r="HG2" s="128" t="str">
        <f t="shared" si="2"/>
        <v/>
      </c>
      <c r="HH2" s="128" t="str">
        <f t="shared" si="2"/>
        <v/>
      </c>
      <c r="HI2" s="128" t="str">
        <f t="shared" si="2"/>
        <v/>
      </c>
      <c r="HJ2" s="128" t="str">
        <f t="shared" si="2"/>
        <v/>
      </c>
      <c r="HK2" s="128" t="str">
        <f t="shared" si="2"/>
        <v/>
      </c>
      <c r="HL2" s="128" t="str">
        <f t="shared" si="2"/>
        <v/>
      </c>
      <c r="HM2" s="128" t="str">
        <f t="shared" si="2"/>
        <v/>
      </c>
      <c r="HN2" s="128" t="str">
        <f t="shared" si="2"/>
        <v/>
      </c>
      <c r="HO2" s="128" t="str">
        <f t="shared" si="2"/>
        <v/>
      </c>
      <c r="HP2" s="128" t="str">
        <f t="shared" si="2"/>
        <v/>
      </c>
      <c r="HQ2" s="128" t="str">
        <f t="shared" si="2"/>
        <v/>
      </c>
      <c r="HR2" s="128" t="str">
        <f t="shared" si="2"/>
        <v/>
      </c>
      <c r="HS2" s="128" t="str">
        <f t="shared" si="2"/>
        <v/>
      </c>
      <c r="HT2" s="128" t="str">
        <f t="shared" si="2"/>
        <v/>
      </c>
      <c r="HU2" s="128" t="str">
        <f t="shared" ref="HU2:IK2" si="3">IF(HU3="","",HT2+1)</f>
        <v/>
      </c>
      <c r="HV2" s="128" t="str">
        <f t="shared" si="3"/>
        <v/>
      </c>
      <c r="HW2" s="128" t="str">
        <f t="shared" si="3"/>
        <v/>
      </c>
      <c r="HX2" s="128" t="str">
        <f t="shared" si="3"/>
        <v/>
      </c>
      <c r="HY2" s="128" t="str">
        <f t="shared" si="3"/>
        <v/>
      </c>
      <c r="HZ2" s="128" t="str">
        <f t="shared" si="3"/>
        <v/>
      </c>
      <c r="IA2" s="128" t="str">
        <f t="shared" si="3"/>
        <v/>
      </c>
      <c r="IB2" s="128" t="str">
        <f t="shared" si="3"/>
        <v/>
      </c>
      <c r="IC2" s="128" t="str">
        <f t="shared" si="3"/>
        <v/>
      </c>
      <c r="ID2" s="128" t="str">
        <f t="shared" si="3"/>
        <v/>
      </c>
      <c r="IE2" s="128" t="str">
        <f t="shared" si="3"/>
        <v/>
      </c>
      <c r="IF2" s="128" t="str">
        <f t="shared" si="3"/>
        <v/>
      </c>
      <c r="IG2" s="128" t="str">
        <f t="shared" si="3"/>
        <v/>
      </c>
      <c r="IH2" s="128" t="str">
        <f t="shared" si="3"/>
        <v/>
      </c>
      <c r="II2" s="128" t="str">
        <f t="shared" si="3"/>
        <v/>
      </c>
      <c r="IJ2" s="128" t="str">
        <f t="shared" si="3"/>
        <v/>
      </c>
      <c r="IK2" s="128" t="str">
        <f t="shared" si="3"/>
        <v/>
      </c>
    </row>
    <row r="3" spans="1:245" s="133" customFormat="1" x14ac:dyDescent="0.2">
      <c r="A3" s="130" t="s">
        <v>136</v>
      </c>
      <c r="B3" s="385" t="s">
        <v>167</v>
      </c>
      <c r="C3" s="385" t="s">
        <v>167</v>
      </c>
      <c r="D3" s="391" t="s">
        <v>167</v>
      </c>
      <c r="E3" s="391" t="s">
        <v>167</v>
      </c>
      <c r="F3" s="391" t="s">
        <v>167</v>
      </c>
      <c r="G3" s="391" t="s">
        <v>167</v>
      </c>
      <c r="H3" s="391" t="s">
        <v>167</v>
      </c>
      <c r="I3" s="391" t="s">
        <v>167</v>
      </c>
      <c r="J3" s="391" t="s">
        <v>167</v>
      </c>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row>
    <row r="4" spans="1:245" s="133" customFormat="1" ht="63.75" x14ac:dyDescent="0.2">
      <c r="A4" s="130" t="s">
        <v>137</v>
      </c>
      <c r="B4" s="385" t="s">
        <v>648</v>
      </c>
      <c r="C4" s="385" t="s">
        <v>654</v>
      </c>
      <c r="D4" s="385" t="s">
        <v>656</v>
      </c>
      <c r="E4" s="385" t="s">
        <v>268</v>
      </c>
      <c r="F4" s="397" t="s">
        <v>665</v>
      </c>
      <c r="G4" s="385" t="s">
        <v>670</v>
      </c>
      <c r="H4" s="385" t="s">
        <v>676</v>
      </c>
      <c r="I4" s="385" t="s">
        <v>695</v>
      </c>
      <c r="J4" s="385" t="s">
        <v>709</v>
      </c>
      <c r="K4" s="132"/>
      <c r="L4" s="131"/>
      <c r="M4" s="131"/>
      <c r="N4" s="131"/>
      <c r="O4" s="132"/>
      <c r="P4" s="132"/>
      <c r="Q4" s="131"/>
      <c r="R4" s="131"/>
      <c r="S4" s="131"/>
      <c r="T4" s="131"/>
      <c r="U4" s="131"/>
      <c r="V4" s="131"/>
      <c r="W4" s="131"/>
      <c r="X4" s="135"/>
      <c r="Y4" s="131"/>
      <c r="Z4" s="132"/>
      <c r="AA4" s="131"/>
      <c r="AB4" s="131"/>
      <c r="AC4" s="132"/>
      <c r="AD4" s="132"/>
      <c r="AE4" s="132"/>
      <c r="AF4" s="132"/>
      <c r="AG4" s="132"/>
      <c r="AH4" s="132"/>
      <c r="AI4" s="132"/>
      <c r="AQ4" s="136"/>
      <c r="AR4" s="136"/>
      <c r="AS4" s="136"/>
      <c r="AT4" s="136"/>
      <c r="AU4" s="136"/>
      <c r="AV4" s="136"/>
      <c r="AW4" s="136"/>
      <c r="GA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row>
    <row r="5" spans="1:245" s="141" customFormat="1" ht="25.5" x14ac:dyDescent="0.2">
      <c r="A5" s="137" t="s">
        <v>138</v>
      </c>
      <c r="B5" s="386" t="s">
        <v>650</v>
      </c>
      <c r="C5" s="386" t="s">
        <v>650</v>
      </c>
      <c r="D5" s="386" t="s">
        <v>657</v>
      </c>
      <c r="E5" s="392" t="s">
        <v>661</v>
      </c>
      <c r="F5" s="398" t="s">
        <v>666</v>
      </c>
      <c r="G5" s="386" t="s">
        <v>657</v>
      </c>
      <c r="H5" s="386" t="s">
        <v>674</v>
      </c>
      <c r="I5" s="386" t="s">
        <v>696</v>
      </c>
      <c r="J5" s="386" t="s">
        <v>710</v>
      </c>
      <c r="K5" s="138"/>
      <c r="L5" s="139"/>
      <c r="M5" s="138"/>
      <c r="N5" s="139"/>
      <c r="O5" s="139"/>
      <c r="P5" s="139"/>
      <c r="Q5" s="138"/>
      <c r="R5" s="139"/>
      <c r="S5" s="138"/>
      <c r="T5" s="139"/>
      <c r="U5" s="138"/>
      <c r="V5" s="139"/>
      <c r="W5" s="138"/>
      <c r="X5" s="139"/>
      <c r="Y5" s="138"/>
      <c r="Z5" s="138"/>
      <c r="AA5" s="139"/>
      <c r="AB5" s="139"/>
      <c r="AC5" s="139"/>
      <c r="AD5" s="139"/>
      <c r="AE5" s="139"/>
      <c r="AF5" s="139"/>
      <c r="AG5" s="139"/>
      <c r="AH5" s="139"/>
      <c r="AI5" s="139"/>
      <c r="DO5" s="142"/>
      <c r="GC5" s="143"/>
      <c r="GD5" s="143"/>
      <c r="GE5" s="143"/>
      <c r="GF5" s="143"/>
      <c r="GG5" s="143"/>
      <c r="GH5" s="143"/>
      <c r="GI5" s="143"/>
      <c r="GJ5" s="143"/>
      <c r="GK5" s="143"/>
      <c r="GL5" s="143"/>
      <c r="GM5" s="143"/>
      <c r="GN5" s="143"/>
      <c r="GO5" s="143"/>
      <c r="GP5" s="143"/>
      <c r="GQ5" s="143"/>
      <c r="GR5" s="143"/>
      <c r="GS5" s="143"/>
      <c r="GT5" s="143"/>
      <c r="GU5" s="143"/>
      <c r="GV5" s="143"/>
      <c r="GW5" s="144"/>
      <c r="GX5" s="143"/>
      <c r="GY5" s="143"/>
      <c r="GZ5" s="143"/>
      <c r="HA5" s="143"/>
      <c r="HB5" s="143"/>
    </row>
    <row r="6" spans="1:245" s="141" customFormat="1" ht="51" x14ac:dyDescent="0.2">
      <c r="A6" s="137" t="s">
        <v>139</v>
      </c>
      <c r="B6" s="386" t="s">
        <v>651</v>
      </c>
      <c r="C6" s="386" t="s">
        <v>651</v>
      </c>
      <c r="D6" s="392"/>
      <c r="E6" s="392"/>
      <c r="F6" s="398"/>
      <c r="G6" s="392"/>
      <c r="H6" s="386"/>
      <c r="I6" s="386" t="s">
        <v>697</v>
      </c>
      <c r="J6" s="386" t="s">
        <v>711</v>
      </c>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row>
    <row r="7" spans="1:245" s="147" customFormat="1" x14ac:dyDescent="0.2">
      <c r="A7" s="130" t="s">
        <v>140</v>
      </c>
      <c r="B7" s="387" t="s">
        <v>649</v>
      </c>
      <c r="C7" s="387" t="s">
        <v>649</v>
      </c>
      <c r="D7" s="387" t="s">
        <v>649</v>
      </c>
      <c r="E7" s="393" t="s">
        <v>649</v>
      </c>
      <c r="F7" s="399" t="s">
        <v>649</v>
      </c>
      <c r="G7" s="387" t="s">
        <v>649</v>
      </c>
      <c r="H7" s="387" t="s">
        <v>649</v>
      </c>
      <c r="I7" s="387" t="s">
        <v>698</v>
      </c>
      <c r="J7" s="387" t="s">
        <v>698</v>
      </c>
      <c r="K7" s="146"/>
      <c r="L7" s="146"/>
      <c r="M7" s="145"/>
      <c r="N7" s="146"/>
      <c r="O7" s="146"/>
      <c r="P7" s="146"/>
      <c r="Q7" s="145"/>
      <c r="R7" s="146"/>
      <c r="S7" s="145"/>
      <c r="T7" s="146"/>
      <c r="U7" s="146"/>
      <c r="V7" s="146"/>
      <c r="W7" s="146"/>
      <c r="X7" s="146"/>
      <c r="Y7" s="146"/>
      <c r="Z7" s="146"/>
      <c r="AA7" s="146"/>
      <c r="AB7" s="146"/>
      <c r="AC7" s="146"/>
      <c r="AD7" s="146"/>
      <c r="AE7" s="146"/>
      <c r="AF7" s="146"/>
      <c r="AG7" s="146"/>
      <c r="AH7" s="146"/>
      <c r="AI7" s="146"/>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row>
    <row r="8" spans="1:245" s="147" customFormat="1" x14ac:dyDescent="0.2">
      <c r="A8" s="130" t="s">
        <v>141</v>
      </c>
      <c r="B8" s="387"/>
      <c r="C8" s="387"/>
      <c r="D8" s="393"/>
      <c r="E8" s="393"/>
      <c r="F8" s="399"/>
      <c r="G8" s="393"/>
      <c r="H8" s="387"/>
      <c r="I8" s="145"/>
      <c r="J8" s="387"/>
      <c r="K8" s="146"/>
      <c r="L8" s="146"/>
      <c r="M8" s="146"/>
      <c r="N8" s="145"/>
      <c r="O8" s="146"/>
      <c r="P8" s="146"/>
      <c r="Q8" s="146"/>
      <c r="R8" s="146"/>
      <c r="S8" s="145"/>
      <c r="T8" s="146"/>
      <c r="U8" s="146"/>
      <c r="V8" s="146"/>
      <c r="W8" s="146"/>
      <c r="X8" s="146"/>
      <c r="Y8" s="146"/>
      <c r="Z8" s="146"/>
      <c r="AA8" s="146"/>
      <c r="AB8" s="146"/>
      <c r="AC8" s="146"/>
      <c r="AD8" s="146"/>
      <c r="AE8" s="146"/>
      <c r="AF8" s="146"/>
      <c r="AG8" s="146"/>
      <c r="AH8" s="146"/>
      <c r="AI8" s="146"/>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row>
    <row r="9" spans="1:245" s="141" customFormat="1" x14ac:dyDescent="0.2">
      <c r="A9" s="137" t="s">
        <v>142</v>
      </c>
      <c r="B9" s="386"/>
      <c r="C9" s="386"/>
      <c r="D9" s="394"/>
      <c r="E9" s="392"/>
      <c r="F9" s="398"/>
      <c r="G9" s="394"/>
      <c r="H9" s="386"/>
      <c r="I9" s="138"/>
      <c r="J9" s="386"/>
      <c r="K9" s="139"/>
      <c r="L9" s="138"/>
      <c r="M9" s="138"/>
      <c r="N9" s="139"/>
      <c r="O9" s="139"/>
      <c r="P9" s="139"/>
      <c r="Q9" s="149"/>
      <c r="R9" s="139"/>
      <c r="S9" s="138"/>
      <c r="T9" s="138"/>
      <c r="U9" s="138"/>
      <c r="V9" s="139"/>
      <c r="W9" s="139"/>
      <c r="X9" s="139"/>
      <c r="Y9" s="139"/>
      <c r="Z9" s="139"/>
      <c r="AA9" s="139"/>
      <c r="AB9" s="139"/>
      <c r="AC9" s="139"/>
      <c r="AD9" s="139"/>
      <c r="AE9" s="139"/>
      <c r="AF9" s="139"/>
      <c r="AG9" s="139"/>
      <c r="AH9" s="139"/>
      <c r="AI9" s="139"/>
      <c r="AY9" s="142"/>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row>
    <row r="10" spans="1:245" s="141" customFormat="1" ht="25.5" x14ac:dyDescent="0.2">
      <c r="A10" s="137" t="s">
        <v>143</v>
      </c>
      <c r="B10" s="386" t="s">
        <v>652</v>
      </c>
      <c r="C10" s="386" t="s">
        <v>652</v>
      </c>
      <c r="D10" s="386" t="s">
        <v>658</v>
      </c>
      <c r="E10" s="392" t="s">
        <v>662</v>
      </c>
      <c r="F10" s="398" t="s">
        <v>667</v>
      </c>
      <c r="G10" s="386" t="s">
        <v>658</v>
      </c>
      <c r="H10" s="386" t="s">
        <v>675</v>
      </c>
      <c r="I10" s="386" t="s">
        <v>701</v>
      </c>
      <c r="J10" s="386" t="s">
        <v>712</v>
      </c>
      <c r="K10" s="139"/>
      <c r="L10" s="139"/>
      <c r="M10" s="139"/>
      <c r="N10" s="139"/>
      <c r="O10" s="139"/>
      <c r="P10" s="139"/>
      <c r="Q10" s="138"/>
      <c r="R10" s="139"/>
      <c r="S10" s="139"/>
      <c r="T10" s="139"/>
      <c r="U10" s="139"/>
      <c r="V10" s="139"/>
      <c r="W10" s="139"/>
      <c r="X10" s="139"/>
      <c r="Y10" s="139"/>
      <c r="Z10" s="139"/>
      <c r="AA10" s="139"/>
      <c r="AB10" s="139"/>
      <c r="AC10" s="139"/>
      <c r="AD10" s="139"/>
      <c r="AE10" s="139"/>
      <c r="AF10" s="139"/>
      <c r="AG10" s="139"/>
      <c r="AH10" s="139"/>
      <c r="AI10" s="139"/>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row>
    <row r="11" spans="1:245" s="147" customFormat="1" x14ac:dyDescent="0.2">
      <c r="A11" s="130" t="s">
        <v>144</v>
      </c>
      <c r="B11" s="387"/>
      <c r="C11" s="387"/>
      <c r="D11" s="393"/>
      <c r="E11" s="393"/>
      <c r="F11" s="399"/>
      <c r="G11" s="387"/>
      <c r="H11" s="387"/>
      <c r="I11" s="145"/>
      <c r="J11" s="387"/>
      <c r="K11" s="146"/>
      <c r="L11" s="146"/>
      <c r="M11" s="146"/>
      <c r="N11" s="146"/>
      <c r="O11" s="146"/>
      <c r="P11" s="146"/>
      <c r="Q11" s="146"/>
      <c r="R11" s="146"/>
      <c r="S11" s="145"/>
      <c r="T11" s="146"/>
      <c r="U11" s="146"/>
      <c r="V11" s="146"/>
      <c r="W11" s="146"/>
      <c r="X11" s="145"/>
      <c r="Y11" s="146"/>
      <c r="Z11" s="146"/>
      <c r="AA11" s="146"/>
      <c r="AB11" s="146"/>
      <c r="AC11" s="146"/>
      <c r="AD11" s="146"/>
      <c r="AE11" s="146"/>
      <c r="AF11" s="146"/>
      <c r="AG11" s="146"/>
      <c r="AH11" s="146"/>
      <c r="AI11" s="146"/>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row>
    <row r="12" spans="1:245" s="147" customFormat="1" ht="25.5" x14ac:dyDescent="0.2">
      <c r="A12" s="130" t="s">
        <v>145</v>
      </c>
      <c r="B12" s="387"/>
      <c r="C12" s="387"/>
      <c r="D12" s="393"/>
      <c r="E12" s="393"/>
      <c r="F12" s="399"/>
      <c r="G12" s="387"/>
      <c r="H12" s="387"/>
      <c r="I12" s="145"/>
      <c r="J12" s="387"/>
      <c r="K12" s="146"/>
      <c r="L12" s="146"/>
      <c r="M12" s="146"/>
      <c r="N12" s="146"/>
      <c r="O12" s="146"/>
      <c r="P12" s="146"/>
      <c r="Q12" s="146"/>
      <c r="R12" s="146"/>
      <c r="S12" s="145"/>
      <c r="T12" s="146"/>
      <c r="U12" s="146"/>
      <c r="V12" s="146"/>
      <c r="W12" s="146"/>
      <c r="X12" s="145"/>
      <c r="Y12" s="146"/>
      <c r="Z12" s="146"/>
      <c r="AA12" s="146"/>
      <c r="AB12" s="146"/>
      <c r="AC12" s="146"/>
      <c r="AD12" s="146"/>
      <c r="AE12" s="146"/>
      <c r="AF12" s="146"/>
      <c r="AG12" s="146"/>
      <c r="AH12" s="146"/>
      <c r="AI12" s="146"/>
      <c r="GC12" s="148"/>
      <c r="GD12" s="148"/>
      <c r="GE12" s="148"/>
      <c r="GF12" s="148"/>
      <c r="GG12" s="148"/>
      <c r="GH12" s="148"/>
      <c r="GI12" s="148"/>
      <c r="GJ12" s="148"/>
      <c r="GK12" s="148"/>
      <c r="GL12" s="148"/>
      <c r="GM12" s="148"/>
      <c r="GN12" s="148"/>
      <c r="GO12" s="148"/>
      <c r="GP12" s="148"/>
      <c r="GQ12" s="148"/>
      <c r="GR12" s="148"/>
      <c r="GS12" s="148"/>
      <c r="GT12" s="148"/>
      <c r="GU12" s="148"/>
      <c r="GV12" s="148"/>
      <c r="GW12" s="148"/>
      <c r="GX12" s="148"/>
      <c r="GY12" s="148"/>
      <c r="GZ12" s="148"/>
      <c r="HA12" s="148"/>
      <c r="HB12" s="148"/>
    </row>
    <row r="13" spans="1:245" s="141" customFormat="1" x14ac:dyDescent="0.2">
      <c r="A13" s="137" t="s">
        <v>146</v>
      </c>
      <c r="B13" s="386"/>
      <c r="C13" s="386"/>
      <c r="D13" s="392"/>
      <c r="E13" s="392"/>
      <c r="F13" s="398"/>
      <c r="G13" s="386"/>
      <c r="H13" s="386"/>
      <c r="I13" s="138"/>
      <c r="J13" s="386"/>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row>
    <row r="14" spans="1:245" s="141" customFormat="1" x14ac:dyDescent="0.2">
      <c r="A14" s="137" t="s">
        <v>147</v>
      </c>
      <c r="B14" s="386"/>
      <c r="C14" s="386"/>
      <c r="D14" s="392"/>
      <c r="E14" s="392"/>
      <c r="F14" s="398"/>
      <c r="G14" s="386"/>
      <c r="H14" s="386"/>
      <c r="I14" s="138"/>
      <c r="J14" s="386"/>
      <c r="K14" s="139"/>
      <c r="L14" s="139"/>
      <c r="M14" s="139"/>
      <c r="N14" s="138"/>
      <c r="O14" s="139"/>
      <c r="P14" s="139"/>
      <c r="Q14" s="139"/>
      <c r="R14" s="139"/>
      <c r="S14" s="139"/>
      <c r="T14" s="139"/>
      <c r="U14" s="139"/>
      <c r="V14" s="139"/>
      <c r="W14" s="139"/>
      <c r="X14" s="139"/>
      <c r="Y14" s="139"/>
      <c r="Z14" s="139"/>
      <c r="AA14" s="139"/>
      <c r="AB14" s="139"/>
      <c r="AC14" s="139"/>
      <c r="AD14" s="139"/>
      <c r="AE14" s="139"/>
      <c r="AF14" s="139"/>
      <c r="AG14" s="139"/>
      <c r="AH14" s="139"/>
      <c r="AI14" s="139"/>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row>
    <row r="15" spans="1:245" s="133" customFormat="1" x14ac:dyDescent="0.2">
      <c r="A15" s="130" t="s">
        <v>148</v>
      </c>
      <c r="B15" s="385"/>
      <c r="C15" s="385"/>
      <c r="D15" s="391"/>
      <c r="E15" s="391"/>
      <c r="F15" s="397"/>
      <c r="G15" s="385"/>
      <c r="H15" s="385"/>
      <c r="I15" s="131"/>
      <c r="J15" s="385"/>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row>
    <row r="16" spans="1:245" s="147" customFormat="1" x14ac:dyDescent="0.2">
      <c r="A16" s="130" t="s">
        <v>149</v>
      </c>
      <c r="B16" s="387"/>
      <c r="C16" s="387"/>
      <c r="D16" s="393"/>
      <c r="E16" s="393"/>
      <c r="F16" s="399"/>
      <c r="G16" s="387"/>
      <c r="H16" s="387"/>
      <c r="I16" s="145"/>
      <c r="J16" s="387"/>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CC16" s="133"/>
      <c r="GC16" s="148"/>
      <c r="GD16" s="148"/>
      <c r="GE16" s="148"/>
      <c r="GF16" s="148"/>
      <c r="GG16" s="148"/>
      <c r="GH16" s="148"/>
      <c r="GI16" s="148"/>
      <c r="GJ16" s="148"/>
      <c r="GK16" s="148"/>
      <c r="GL16" s="148"/>
      <c r="GM16" s="148"/>
      <c r="GN16" s="148"/>
      <c r="GO16" s="148"/>
      <c r="GP16" s="148"/>
      <c r="GQ16" s="148"/>
      <c r="GR16" s="148"/>
      <c r="GS16" s="148"/>
      <c r="GT16" s="148"/>
      <c r="GU16" s="148"/>
      <c r="GV16" s="148"/>
      <c r="GW16" s="148"/>
      <c r="GX16" s="148"/>
      <c r="GY16" s="148"/>
      <c r="GZ16" s="148"/>
      <c r="HA16" s="148"/>
      <c r="HB16" s="148"/>
    </row>
    <row r="17" spans="1:210" s="152" customFormat="1" x14ac:dyDescent="0.2">
      <c r="A17" s="137" t="s">
        <v>150</v>
      </c>
      <c r="B17" s="388"/>
      <c r="C17" s="388"/>
      <c r="D17" s="395"/>
      <c r="E17" s="395"/>
      <c r="F17" s="400"/>
      <c r="G17" s="388"/>
      <c r="H17" s="388"/>
      <c r="I17" s="150"/>
      <c r="J17" s="388"/>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row>
    <row r="18" spans="1:210" s="152" customFormat="1" x14ac:dyDescent="0.2">
      <c r="A18" s="137" t="s">
        <v>151</v>
      </c>
      <c r="B18" s="388"/>
      <c r="C18" s="388"/>
      <c r="D18" s="395"/>
      <c r="E18" s="395"/>
      <c r="F18" s="400"/>
      <c r="G18" s="388"/>
      <c r="H18" s="388"/>
      <c r="I18" s="150"/>
      <c r="J18" s="388"/>
      <c r="K18" s="151"/>
      <c r="L18" s="151"/>
      <c r="M18" s="151"/>
      <c r="N18" s="151"/>
      <c r="O18" s="151"/>
      <c r="P18" s="151"/>
      <c r="Q18" s="151"/>
      <c r="R18" s="151"/>
      <c r="S18" s="151"/>
      <c r="T18" s="151"/>
      <c r="U18" s="151"/>
      <c r="V18" s="151"/>
      <c r="W18" s="151"/>
      <c r="X18" s="154"/>
      <c r="Y18" s="151"/>
      <c r="Z18" s="151"/>
      <c r="AA18" s="151"/>
      <c r="AB18" s="151"/>
      <c r="AC18" s="151"/>
      <c r="AD18" s="151"/>
      <c r="AE18" s="151"/>
      <c r="AF18" s="151"/>
      <c r="AG18" s="151"/>
      <c r="AH18" s="151"/>
      <c r="AI18" s="151"/>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row>
    <row r="19" spans="1:210" s="133" customFormat="1" x14ac:dyDescent="0.2">
      <c r="A19" s="130" t="s">
        <v>152</v>
      </c>
      <c r="B19" s="385"/>
      <c r="C19" s="385"/>
      <c r="D19" s="391"/>
      <c r="E19" s="391"/>
      <c r="F19" s="397"/>
      <c r="G19" s="385"/>
      <c r="H19" s="385"/>
      <c r="I19" s="131"/>
      <c r="J19" s="385"/>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row>
    <row r="20" spans="1:210" s="158" customFormat="1" ht="38.25" x14ac:dyDescent="0.25">
      <c r="A20" s="155" t="s">
        <v>153</v>
      </c>
      <c r="B20" s="389"/>
      <c r="C20" s="389" t="s">
        <v>154</v>
      </c>
      <c r="D20" s="404" t="s">
        <v>260</v>
      </c>
      <c r="E20" s="404" t="s">
        <v>267</v>
      </c>
      <c r="F20" s="405" t="s">
        <v>264</v>
      </c>
      <c r="G20" s="404" t="s">
        <v>271</v>
      </c>
      <c r="H20" s="404" t="s">
        <v>673</v>
      </c>
      <c r="I20" s="403" t="s">
        <v>700</v>
      </c>
      <c r="J20" s="404" t="s">
        <v>713</v>
      </c>
      <c r="K20" s="156"/>
      <c r="L20" s="156"/>
      <c r="M20" s="157"/>
      <c r="N20" s="156"/>
      <c r="P20" s="159"/>
      <c r="Q20" s="156"/>
      <c r="R20" s="156"/>
      <c r="T20" s="156"/>
      <c r="U20" s="156"/>
      <c r="V20" s="156"/>
      <c r="W20" s="156"/>
      <c r="X20" s="156"/>
      <c r="Y20" s="156"/>
      <c r="Z20" s="156"/>
      <c r="AA20" s="159"/>
      <c r="AB20" s="159"/>
      <c r="AC20" s="159"/>
      <c r="AD20" s="159"/>
      <c r="AE20" s="159"/>
      <c r="AF20" s="159"/>
      <c r="AG20" s="159"/>
      <c r="AH20" s="159"/>
      <c r="AI20" s="159"/>
      <c r="AJ20" s="159"/>
      <c r="AK20" s="159"/>
      <c r="AL20" s="159"/>
      <c r="AM20" s="159"/>
      <c r="AN20" s="159"/>
      <c r="AO20" s="159"/>
      <c r="AP20" s="159"/>
      <c r="AQ20" s="159"/>
      <c r="AR20" s="159"/>
      <c r="AS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X20" s="159"/>
      <c r="BY20" s="159"/>
      <c r="BZ20" s="159"/>
      <c r="CA20" s="159"/>
      <c r="CB20" s="159"/>
      <c r="CC20" s="159"/>
      <c r="CD20" s="159"/>
      <c r="CE20" s="159"/>
      <c r="CF20" s="159"/>
      <c r="CG20" s="159"/>
      <c r="CH20" s="159"/>
      <c r="CI20" s="159"/>
      <c r="CK20" s="159"/>
      <c r="CL20" s="159"/>
      <c r="CN20" s="159"/>
      <c r="CO20" s="159"/>
      <c r="CP20" s="159"/>
      <c r="CQ20" s="159"/>
      <c r="CR20" s="159"/>
      <c r="CS20" s="159"/>
      <c r="CT20" s="159"/>
      <c r="CU20" s="159"/>
      <c r="CW20" s="159"/>
      <c r="CX20" s="159"/>
      <c r="CY20" s="159"/>
      <c r="CZ20" s="159"/>
      <c r="DA20" s="159"/>
      <c r="DB20" s="159"/>
      <c r="DC20" s="159"/>
      <c r="DD20" s="159"/>
      <c r="DE20" s="159"/>
      <c r="DF20" s="159"/>
      <c r="DG20" s="159"/>
      <c r="DH20" s="159"/>
      <c r="DI20" s="159"/>
      <c r="DJ20" s="159"/>
      <c r="DK20" s="159"/>
      <c r="DL20" s="159"/>
      <c r="DM20" s="159"/>
      <c r="DN20" s="159"/>
      <c r="DO20" s="159"/>
      <c r="DP20" s="159"/>
      <c r="DQ20" s="159"/>
      <c r="DR20" s="159"/>
      <c r="DS20" s="159"/>
      <c r="DT20" s="159"/>
      <c r="GC20" s="157"/>
      <c r="GE20" s="157"/>
      <c r="GI20" s="157"/>
      <c r="GJ20" s="157"/>
      <c r="GK20" s="157"/>
      <c r="GM20" s="157"/>
      <c r="GN20" s="157"/>
      <c r="GO20" s="157"/>
      <c r="GP20" s="157"/>
      <c r="GQ20" s="157"/>
      <c r="GR20" s="157"/>
      <c r="GS20" s="157"/>
      <c r="GT20" s="157"/>
      <c r="GU20" s="157"/>
      <c r="GV20" s="157"/>
      <c r="GW20" s="157"/>
      <c r="GX20" s="157"/>
      <c r="GY20" s="157"/>
      <c r="GZ20" s="157"/>
      <c r="HA20" s="157"/>
      <c r="HB20" s="157"/>
    </row>
    <row r="21" spans="1:210" s="145" customFormat="1" ht="25.5" x14ac:dyDescent="0.25">
      <c r="A21" s="160" t="s">
        <v>155</v>
      </c>
      <c r="B21" s="390"/>
      <c r="C21" s="390"/>
      <c r="D21" s="396"/>
      <c r="E21" s="390"/>
      <c r="F21" s="401"/>
      <c r="G21" s="390"/>
      <c r="H21" s="390"/>
      <c r="I21" s="161"/>
      <c r="J21" s="390"/>
      <c r="K21" s="162"/>
      <c r="L21" s="162"/>
      <c r="M21" s="163"/>
      <c r="N21" s="162"/>
      <c r="P21" s="164"/>
      <c r="Q21" s="162"/>
      <c r="R21" s="162"/>
      <c r="T21" s="162"/>
      <c r="U21" s="162"/>
      <c r="V21" s="162"/>
      <c r="W21" s="162"/>
      <c r="X21" s="162"/>
      <c r="Y21" s="162"/>
      <c r="Z21" s="162"/>
      <c r="AA21" s="164"/>
      <c r="AB21" s="164"/>
      <c r="AC21" s="164"/>
      <c r="AD21" s="164"/>
      <c r="AE21" s="164"/>
      <c r="AF21" s="164"/>
      <c r="AG21" s="164"/>
      <c r="AH21" s="164"/>
      <c r="AI21" s="164"/>
      <c r="AJ21" s="164"/>
      <c r="AK21" s="164"/>
      <c r="AL21" s="164"/>
      <c r="AM21" s="164"/>
      <c r="AN21" s="164"/>
      <c r="AO21" s="164"/>
      <c r="AP21" s="164"/>
      <c r="AQ21" s="164"/>
      <c r="AR21" s="164"/>
      <c r="AS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X21" s="164"/>
      <c r="BY21" s="164"/>
      <c r="BZ21" s="164"/>
      <c r="CA21" s="164"/>
      <c r="CB21" s="164"/>
      <c r="CC21" s="164"/>
      <c r="CD21" s="164"/>
      <c r="CE21" s="164"/>
      <c r="CF21" s="164"/>
      <c r="CG21" s="164"/>
      <c r="CH21" s="164"/>
      <c r="CI21" s="164"/>
      <c r="CK21" s="164"/>
      <c r="CL21" s="164"/>
      <c r="CN21" s="164"/>
      <c r="CO21" s="164"/>
      <c r="CP21" s="164"/>
      <c r="CQ21" s="164"/>
      <c r="CR21" s="164"/>
      <c r="CS21" s="164"/>
      <c r="CT21" s="164"/>
      <c r="CU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c r="GC21" s="163"/>
      <c r="GE21" s="163"/>
      <c r="GI21" s="163"/>
      <c r="GJ21" s="163"/>
      <c r="GK21" s="163"/>
      <c r="GM21" s="163"/>
      <c r="GN21" s="163"/>
      <c r="GO21" s="163"/>
      <c r="GP21" s="163"/>
      <c r="GQ21" s="163"/>
      <c r="GR21" s="163"/>
      <c r="GS21" s="163"/>
      <c r="GT21" s="163"/>
      <c r="GU21" s="163"/>
      <c r="GV21" s="163"/>
      <c r="GW21" s="163"/>
      <c r="GX21" s="163"/>
      <c r="GY21" s="163"/>
      <c r="GZ21" s="163"/>
      <c r="HA21" s="163"/>
      <c r="HB21" s="163"/>
    </row>
    <row r="22" spans="1:210" s="141" customFormat="1" x14ac:dyDescent="0.2">
      <c r="A22" s="137" t="s">
        <v>156</v>
      </c>
      <c r="B22" s="386"/>
      <c r="C22" s="386"/>
      <c r="D22" s="392"/>
      <c r="E22" s="392"/>
      <c r="F22" s="398"/>
      <c r="G22" s="386"/>
      <c r="H22" s="386"/>
      <c r="I22" s="138"/>
      <c r="J22" s="386"/>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GC22" s="143"/>
      <c r="GD22" s="143"/>
      <c r="GE22" s="143"/>
      <c r="GF22" s="143"/>
      <c r="GG22" s="143"/>
      <c r="GH22" s="143"/>
      <c r="GI22" s="143"/>
      <c r="GJ22" s="143"/>
      <c r="GK22" s="143"/>
      <c r="GL22" s="143"/>
      <c r="GM22" s="143"/>
      <c r="GN22" s="143"/>
      <c r="GO22" s="143"/>
      <c r="GP22" s="143"/>
      <c r="GQ22" s="143"/>
      <c r="GR22" s="143"/>
      <c r="GS22" s="143"/>
      <c r="GT22" s="143"/>
      <c r="GU22" s="143"/>
      <c r="GV22" s="143"/>
      <c r="GW22" s="143"/>
      <c r="GX22" s="143"/>
      <c r="GY22" s="143"/>
      <c r="GZ22" s="143"/>
      <c r="HA22" s="143"/>
      <c r="HB22" s="143"/>
    </row>
    <row r="23" spans="1:210" s="152" customFormat="1" ht="25.5" x14ac:dyDescent="0.2">
      <c r="A23" s="137" t="s">
        <v>157</v>
      </c>
      <c r="B23" s="388"/>
      <c r="C23" s="388"/>
      <c r="D23" s="388"/>
      <c r="E23" s="395"/>
      <c r="F23" s="400"/>
      <c r="G23" s="386"/>
      <c r="H23" s="388"/>
      <c r="I23" s="150"/>
      <c r="J23" s="388"/>
      <c r="K23" s="139"/>
      <c r="L23" s="151"/>
      <c r="M23" s="138"/>
      <c r="N23" s="151"/>
      <c r="O23" s="151"/>
      <c r="P23" s="151"/>
      <c r="Q23" s="150"/>
      <c r="R23" s="151"/>
      <c r="S23" s="150"/>
      <c r="T23" s="151"/>
      <c r="U23" s="151"/>
      <c r="V23" s="151"/>
      <c r="W23" s="151"/>
      <c r="X23" s="150"/>
      <c r="Y23" s="151"/>
      <c r="Z23" s="151"/>
      <c r="AA23" s="151"/>
      <c r="AB23" s="151"/>
      <c r="AC23" s="151"/>
      <c r="AD23" s="151"/>
      <c r="AE23" s="151"/>
      <c r="AF23" s="151"/>
      <c r="AG23" s="151"/>
      <c r="AH23" s="151"/>
      <c r="AI23" s="151"/>
      <c r="GC23" s="153"/>
      <c r="GD23" s="153"/>
      <c r="GE23" s="153"/>
      <c r="GF23" s="153"/>
      <c r="GG23" s="153"/>
      <c r="GH23" s="153"/>
      <c r="GI23" s="153"/>
      <c r="GJ23" s="153"/>
      <c r="GK23" s="153"/>
      <c r="GL23" s="153"/>
      <c r="GM23" s="153"/>
      <c r="GN23" s="153"/>
      <c r="GO23" s="153"/>
      <c r="GP23" s="153"/>
      <c r="GQ23" s="153"/>
      <c r="GR23" s="153"/>
      <c r="GS23" s="153"/>
      <c r="GT23" s="153"/>
      <c r="GU23" s="153"/>
      <c r="GV23" s="153"/>
      <c r="GW23" s="153"/>
      <c r="GX23" s="153"/>
      <c r="GY23" s="153"/>
      <c r="GZ23" s="153"/>
      <c r="HA23" s="153"/>
      <c r="HB23" s="153"/>
    </row>
    <row r="24" spans="1:210" s="147" customFormat="1" ht="25.5" x14ac:dyDescent="0.2">
      <c r="A24" s="130" t="s">
        <v>158</v>
      </c>
      <c r="B24" s="387"/>
      <c r="C24" s="385"/>
      <c r="D24" s="391"/>
      <c r="E24" s="393"/>
      <c r="F24" s="399"/>
      <c r="G24" s="385"/>
      <c r="H24" s="387"/>
      <c r="I24" s="145"/>
      <c r="J24" s="387"/>
      <c r="K24" s="132"/>
      <c r="L24" s="146"/>
      <c r="M24" s="131"/>
      <c r="N24" s="146"/>
      <c r="O24" s="146"/>
      <c r="P24" s="146"/>
      <c r="Q24" s="132"/>
      <c r="R24" s="146"/>
      <c r="S24" s="131"/>
      <c r="T24" s="146"/>
      <c r="U24" s="146"/>
      <c r="V24" s="146"/>
      <c r="W24" s="146"/>
      <c r="X24" s="146"/>
      <c r="Y24" s="146"/>
      <c r="Z24" s="146"/>
      <c r="AA24" s="146"/>
      <c r="AB24" s="146"/>
      <c r="AC24" s="146"/>
      <c r="AD24" s="146"/>
      <c r="AE24" s="146"/>
      <c r="AF24" s="146"/>
      <c r="AG24" s="146"/>
      <c r="AH24" s="146"/>
      <c r="AI24" s="146"/>
      <c r="GC24" s="148"/>
      <c r="GD24" s="148"/>
      <c r="GE24" s="148"/>
      <c r="GF24" s="148"/>
      <c r="GG24" s="148"/>
      <c r="GH24" s="148"/>
      <c r="GI24" s="148"/>
      <c r="GJ24" s="148"/>
      <c r="GK24" s="148"/>
      <c r="GL24" s="148"/>
      <c r="GM24" s="148"/>
      <c r="GN24" s="148"/>
      <c r="GO24" s="148"/>
      <c r="GP24" s="148"/>
      <c r="GQ24" s="148"/>
      <c r="GR24" s="148"/>
      <c r="GS24" s="148"/>
      <c r="GT24" s="148"/>
      <c r="GU24" s="148"/>
      <c r="GV24" s="148"/>
      <c r="GW24" s="148"/>
      <c r="GX24" s="148"/>
      <c r="GY24" s="148"/>
      <c r="GZ24" s="148"/>
      <c r="HA24" s="148"/>
      <c r="HB24" s="148"/>
    </row>
    <row r="25" spans="1:210" s="133" customFormat="1" x14ac:dyDescent="0.2">
      <c r="A25" s="130" t="s">
        <v>159</v>
      </c>
      <c r="B25" s="385"/>
      <c r="C25" s="385"/>
      <c r="D25" s="385"/>
      <c r="E25" s="391"/>
      <c r="F25" s="397"/>
      <c r="G25" s="385"/>
      <c r="H25" s="385"/>
      <c r="I25" s="131"/>
      <c r="J25" s="385"/>
      <c r="K25" s="132"/>
      <c r="L25" s="132"/>
      <c r="M25" s="131"/>
      <c r="N25" s="132"/>
      <c r="O25" s="132"/>
      <c r="P25" s="132"/>
      <c r="Q25" s="131"/>
      <c r="R25" s="132"/>
      <c r="S25" s="131"/>
      <c r="T25" s="132"/>
      <c r="U25" s="132"/>
      <c r="V25" s="132"/>
      <c r="W25" s="132"/>
      <c r="X25" s="132"/>
      <c r="Y25" s="132"/>
      <c r="Z25" s="132"/>
      <c r="AA25" s="132"/>
      <c r="AB25" s="132"/>
      <c r="AC25" s="132"/>
      <c r="AD25" s="132"/>
      <c r="AE25" s="132"/>
      <c r="AF25" s="132"/>
      <c r="AG25" s="132"/>
      <c r="AH25" s="132"/>
      <c r="AI25" s="132"/>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row>
    <row r="26" spans="1:210" s="141" customFormat="1" ht="103.5" customHeight="1" x14ac:dyDescent="0.2">
      <c r="A26" s="142" t="s">
        <v>160</v>
      </c>
      <c r="B26" s="386" t="s">
        <v>653</v>
      </c>
      <c r="C26" s="386" t="s">
        <v>655</v>
      </c>
      <c r="D26" s="386" t="s">
        <v>659</v>
      </c>
      <c r="E26" s="386" t="s">
        <v>663</v>
      </c>
      <c r="F26" s="402" t="s">
        <v>668</v>
      </c>
      <c r="G26" s="386" t="s">
        <v>671</v>
      </c>
      <c r="H26" s="386" t="s">
        <v>677</v>
      </c>
      <c r="I26" s="386" t="s">
        <v>699</v>
      </c>
      <c r="J26" s="386" t="s">
        <v>714</v>
      </c>
      <c r="K26" s="165"/>
      <c r="L26" s="138"/>
      <c r="M26" s="138"/>
      <c r="N26" s="138"/>
      <c r="O26" s="138"/>
      <c r="P26" s="138"/>
      <c r="Q26" s="138"/>
      <c r="R26" s="138"/>
      <c r="S26" s="138"/>
      <c r="T26" s="138"/>
      <c r="U26" s="138"/>
      <c r="V26" s="138"/>
      <c r="W26" s="138"/>
      <c r="X26" s="138"/>
      <c r="Y26" s="138"/>
      <c r="Z26" s="138"/>
      <c r="AA26" s="166"/>
      <c r="AB26" s="166"/>
      <c r="AC26" s="166"/>
      <c r="AD26" s="138"/>
      <c r="AE26" s="166"/>
      <c r="AF26" s="166"/>
      <c r="AG26" s="166"/>
      <c r="AH26" s="166"/>
      <c r="AI26" s="166"/>
      <c r="AJ26" s="142"/>
      <c r="AK26" s="167"/>
      <c r="AL26" s="167"/>
      <c r="AM26" s="167"/>
      <c r="AN26" s="167"/>
      <c r="AO26" s="167"/>
      <c r="AP26" s="167"/>
      <c r="AQ26" s="167"/>
      <c r="AR26" s="167"/>
      <c r="AS26" s="167"/>
      <c r="AU26" s="142"/>
      <c r="AV26" s="142"/>
      <c r="AW26" s="142"/>
      <c r="AX26" s="142"/>
      <c r="BL26" s="167"/>
      <c r="DS26" s="142"/>
      <c r="DT26" s="142"/>
      <c r="GC26" s="143"/>
      <c r="GD26" s="143"/>
      <c r="GE26" s="143"/>
      <c r="GF26" s="143"/>
      <c r="GG26" s="143"/>
      <c r="GH26" s="143"/>
      <c r="GI26" s="143"/>
      <c r="GJ26" s="143"/>
      <c r="GK26" s="144"/>
      <c r="GL26" s="143"/>
      <c r="GM26" s="143"/>
      <c r="GN26" s="143"/>
      <c r="GO26" s="143"/>
      <c r="GP26" s="143"/>
      <c r="GQ26" s="143"/>
      <c r="GR26" s="143"/>
      <c r="GS26" s="143"/>
      <c r="GT26" s="143"/>
      <c r="GU26" s="143"/>
      <c r="GV26" s="143"/>
      <c r="GW26" s="143"/>
      <c r="GX26" s="143"/>
      <c r="GY26" s="143"/>
      <c r="GZ26" s="143"/>
      <c r="HA26" s="168"/>
      <c r="HB26" s="168"/>
    </row>
    <row r="27" spans="1:210" s="141" customFormat="1" x14ac:dyDescent="0.25">
      <c r="A27" s="137" t="s">
        <v>161</v>
      </c>
      <c r="B27" s="386"/>
      <c r="C27" s="138"/>
      <c r="D27" s="139"/>
      <c r="E27" s="139"/>
      <c r="F27" s="140"/>
      <c r="G27" s="138"/>
      <c r="H27" s="138"/>
      <c r="I27" s="138"/>
      <c r="J27" s="386"/>
      <c r="K27" s="139"/>
      <c r="L27" s="139"/>
      <c r="M27" s="139"/>
      <c r="N27" s="139"/>
      <c r="O27" s="139"/>
      <c r="P27" s="139"/>
      <c r="Q27" s="139"/>
      <c r="R27" s="139"/>
      <c r="S27" s="138"/>
      <c r="T27" s="139"/>
      <c r="U27" s="139"/>
      <c r="V27" s="139"/>
      <c r="W27" s="139"/>
      <c r="X27" s="138"/>
      <c r="Y27" s="139"/>
      <c r="Z27" s="139"/>
      <c r="AA27" s="139"/>
      <c r="AB27" s="139"/>
      <c r="AC27" s="139"/>
      <c r="AD27" s="139"/>
      <c r="AE27" s="139"/>
      <c r="AF27" s="139"/>
      <c r="AG27" s="139"/>
      <c r="AH27" s="139"/>
      <c r="AI27" s="139"/>
    </row>
    <row r="28" spans="1:210" s="169" customFormat="1" ht="12.75" customHeight="1" x14ac:dyDescent="0.25">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row>
    <row r="29" spans="1:210" s="169" customFormat="1" ht="12.75" customHeight="1" x14ac:dyDescent="0.25">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row>
    <row r="30" spans="1:210" s="169" customFormat="1" ht="12.75" customHeight="1" x14ac:dyDescent="0.25">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row>
    <row r="31" spans="1:210" s="169" customFormat="1" ht="12.75" customHeight="1" x14ac:dyDescent="0.25">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row>
    <row r="32" spans="1:210" s="169" customFormat="1" ht="12.75" customHeight="1" x14ac:dyDescent="0.25">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row>
    <row r="33" spans="2:35" s="169" customFormat="1" ht="12.75" customHeight="1" x14ac:dyDescent="0.25">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row>
    <row r="34" spans="2:35" s="169" customFormat="1" ht="12.75" customHeight="1" x14ac:dyDescent="0.25">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row>
    <row r="35" spans="2:35" s="169" customFormat="1" ht="12.75" customHeight="1" x14ac:dyDescent="0.25">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row>
    <row r="36" spans="2:35" s="169" customFormat="1" ht="12.75" customHeight="1" x14ac:dyDescent="0.25">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row>
    <row r="37" spans="2:35" s="169" customFormat="1" ht="12.75" customHeight="1" x14ac:dyDescent="0.25">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row>
    <row r="38" spans="2:35" s="169" customFormat="1" ht="12.75" customHeight="1" x14ac:dyDescent="0.25">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row>
    <row r="39" spans="2:35" s="169" customFormat="1" ht="12.75" customHeight="1" x14ac:dyDescent="0.25">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row>
    <row r="40" spans="2:35" s="169" customFormat="1" ht="12.75" customHeight="1" x14ac:dyDescent="0.25">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row>
    <row r="50" spans="1:35" ht="12.75" customHeight="1" x14ac:dyDescent="0.2">
      <c r="A50" s="171" t="s">
        <v>162</v>
      </c>
    </row>
    <row r="51" spans="1:35" s="174" customFormat="1" ht="12.75" customHeight="1" x14ac:dyDescent="0.25">
      <c r="B51" s="175" t="s">
        <v>163</v>
      </c>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row>
    <row r="52" spans="1:35" ht="12.75" customHeight="1" x14ac:dyDescent="0.2">
      <c r="B52" s="176" t="s">
        <v>79</v>
      </c>
    </row>
    <row r="53" spans="1:35" ht="12.75" customHeight="1" x14ac:dyDescent="0.2">
      <c r="B53" s="177" t="s">
        <v>164</v>
      </c>
    </row>
    <row r="54" spans="1:35" ht="12.75" customHeight="1" x14ac:dyDescent="0.2">
      <c r="B54" s="177" t="s">
        <v>165</v>
      </c>
    </row>
    <row r="55" spans="1:35" ht="12.75" customHeight="1" x14ac:dyDescent="0.2">
      <c r="B55" s="177" t="s">
        <v>166</v>
      </c>
    </row>
    <row r="56" spans="1:35" ht="12.75" customHeight="1" x14ac:dyDescent="0.2">
      <c r="B56" s="177" t="s">
        <v>167</v>
      </c>
    </row>
    <row r="57" spans="1:35" ht="12.75" customHeight="1" x14ac:dyDescent="0.2">
      <c r="B57" s="177" t="s">
        <v>168</v>
      </c>
    </row>
    <row r="58" spans="1:35" ht="12.75" customHeight="1" x14ac:dyDescent="0.2">
      <c r="B58" s="177" t="s">
        <v>169</v>
      </c>
    </row>
    <row r="59" spans="1:35" ht="12.75" customHeight="1" x14ac:dyDescent="0.2">
      <c r="B59" s="177" t="s">
        <v>170</v>
      </c>
    </row>
    <row r="60" spans="1:35" ht="12.75" customHeight="1" x14ac:dyDescent="0.2">
      <c r="B60" s="177" t="s">
        <v>171</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hyperlinks>
    <hyperlink ref="D20" r:id="rId1"/>
    <hyperlink ref="E20" r:id="rId2"/>
    <hyperlink ref="F20" r:id="rId3"/>
    <hyperlink ref="G20" r:id="rId4"/>
    <hyperlink ref="H20" r:id="rId5"/>
    <hyperlink ref="I20" r:id="rId6"/>
    <hyperlink ref="J20" r:id="rId7"/>
  </hyperlinks>
  <pageMargins left="0.25" right="0.25" top="0.5" bottom="0.5" header="0.3" footer="0.3"/>
  <pageSetup scale="99" orientation="landscape" r:id="rId8"/>
  <headerFooter alignWithMargins="0">
    <oddFooter>Page &amp;P&amp;R&amp;F</oddFooter>
  </headerFooter>
  <ignoredErrors>
    <ignoredError sqref="B7:D7 E7:J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84"/>
  <sheetViews>
    <sheetView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514" t="s">
        <v>18</v>
      </c>
      <c r="B1" s="514"/>
      <c r="C1" s="514"/>
      <c r="D1" s="514"/>
      <c r="E1" s="514"/>
      <c r="F1" s="514"/>
      <c r="G1" s="514"/>
      <c r="H1" s="514"/>
      <c r="I1" s="514"/>
      <c r="J1" s="514"/>
      <c r="K1" s="514"/>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78" t="s">
        <v>172</v>
      </c>
      <c r="C2" s="179"/>
      <c r="D2" s="179"/>
      <c r="E2" s="179"/>
      <c r="F2" s="179"/>
      <c r="G2" s="179"/>
      <c r="H2" s="179"/>
    </row>
    <row r="3" spans="1:39" s="177" customFormat="1" ht="40.5" customHeight="1" x14ac:dyDescent="0.2">
      <c r="B3" s="180" t="s">
        <v>173</v>
      </c>
      <c r="C3" s="181" t="s">
        <v>174</v>
      </c>
      <c r="D3" s="181" t="s">
        <v>175</v>
      </c>
      <c r="E3" s="181" t="s">
        <v>98</v>
      </c>
      <c r="F3" s="181" t="s">
        <v>176</v>
      </c>
      <c r="G3" s="181" t="s">
        <v>177</v>
      </c>
      <c r="H3" s="181" t="s">
        <v>178</v>
      </c>
      <c r="I3" s="182" t="s">
        <v>17</v>
      </c>
      <c r="J3" s="181" t="s">
        <v>179</v>
      </c>
      <c r="K3" s="181" t="s">
        <v>180</v>
      </c>
    </row>
    <row r="4" spans="1:39" s="177" customFormat="1" ht="15" customHeight="1" x14ac:dyDescent="0.2">
      <c r="B4" s="56" t="s">
        <v>248</v>
      </c>
      <c r="C4" s="62" t="s">
        <v>680</v>
      </c>
      <c r="D4" s="181">
        <v>3</v>
      </c>
      <c r="E4" s="181">
        <v>2</v>
      </c>
      <c r="F4" s="181">
        <v>2</v>
      </c>
      <c r="G4" s="181">
        <v>2</v>
      </c>
      <c r="H4" s="181">
        <v>1</v>
      </c>
      <c r="I4" s="184" t="str">
        <f t="shared" ref="I4:I44" si="0">IF(D4&lt;&gt;"",D4&amp;","&amp;E4&amp;","&amp;F4&amp;","&amp;G4&amp;","&amp;H4,"0,0,0,0,0")</f>
        <v>3,2,2,2,1</v>
      </c>
      <c r="J4" s="185" t="str">
        <f t="shared" ref="J4:J44" si="1">IF(MAX(D4:H4)&gt;=5, "Requirements not met", "Requirements met")</f>
        <v>Requirements met</v>
      </c>
      <c r="K4" s="186" t="str">
        <f t="shared" ref="K4:K44" si="2">IF(MAX(D4:H4)&gt;=5, "Not OK", "OK")</f>
        <v>OK</v>
      </c>
    </row>
    <row r="5" spans="1:39" s="177" customFormat="1" ht="15" customHeight="1" x14ac:dyDescent="0.2">
      <c r="B5" s="44" t="s">
        <v>421</v>
      </c>
      <c r="C5" s="62" t="s">
        <v>680</v>
      </c>
      <c r="D5" s="181">
        <v>3</v>
      </c>
      <c r="E5" s="181">
        <v>2</v>
      </c>
      <c r="F5" s="181">
        <v>2</v>
      </c>
      <c r="G5" s="181">
        <v>2</v>
      </c>
      <c r="H5" s="181">
        <v>1</v>
      </c>
      <c r="I5" s="184" t="str">
        <f t="shared" si="0"/>
        <v>3,2,2,2,1</v>
      </c>
      <c r="J5" s="185" t="str">
        <f t="shared" si="1"/>
        <v>Requirements met</v>
      </c>
      <c r="K5" s="186" t="str">
        <f t="shared" si="2"/>
        <v>OK</v>
      </c>
    </row>
    <row r="6" spans="1:39" s="177" customFormat="1" ht="15" customHeight="1" x14ac:dyDescent="0.2">
      <c r="B6" s="44" t="s">
        <v>249</v>
      </c>
      <c r="C6" s="62" t="s">
        <v>680</v>
      </c>
      <c r="D6" s="181">
        <v>3</v>
      </c>
      <c r="E6" s="181">
        <v>2</v>
      </c>
      <c r="F6" s="181">
        <v>2</v>
      </c>
      <c r="G6" s="181">
        <v>2</v>
      </c>
      <c r="H6" s="181">
        <v>1</v>
      </c>
      <c r="I6" s="184" t="str">
        <f t="shared" si="0"/>
        <v>3,2,2,2,1</v>
      </c>
      <c r="J6" s="185" t="str">
        <f t="shared" si="1"/>
        <v>Requirements met</v>
      </c>
      <c r="K6" s="186" t="str">
        <f t="shared" si="2"/>
        <v>OK</v>
      </c>
    </row>
    <row r="7" spans="1:39" s="177" customFormat="1" ht="15" customHeight="1" x14ac:dyDescent="0.2">
      <c r="B7" s="64" t="s">
        <v>481</v>
      </c>
      <c r="C7" s="62" t="s">
        <v>680</v>
      </c>
      <c r="D7" s="181">
        <v>3</v>
      </c>
      <c r="E7" s="181">
        <v>2</v>
      </c>
      <c r="F7" s="181">
        <v>2</v>
      </c>
      <c r="G7" s="181">
        <v>2</v>
      </c>
      <c r="H7" s="181">
        <v>1</v>
      </c>
      <c r="I7" s="184" t="str">
        <f t="shared" si="0"/>
        <v>3,2,2,2,1</v>
      </c>
      <c r="J7" s="185" t="str">
        <f t="shared" si="1"/>
        <v>Requirements met</v>
      </c>
      <c r="K7" s="186" t="str">
        <f t="shared" si="2"/>
        <v>OK</v>
      </c>
    </row>
    <row r="8" spans="1:39" s="177" customFormat="1" ht="15" customHeight="1" x14ac:dyDescent="0.2">
      <c r="B8" s="64" t="s">
        <v>442</v>
      </c>
      <c r="C8" s="62" t="s">
        <v>715</v>
      </c>
      <c r="D8" s="181">
        <v>3</v>
      </c>
      <c r="E8" s="181">
        <v>2</v>
      </c>
      <c r="F8" s="181">
        <v>2</v>
      </c>
      <c r="G8" s="181">
        <v>3</v>
      </c>
      <c r="H8" s="181">
        <v>2</v>
      </c>
      <c r="I8" s="184" t="str">
        <f t="shared" si="0"/>
        <v>3,2,2,3,2</v>
      </c>
      <c r="J8" s="185" t="str">
        <f t="shared" si="1"/>
        <v>Requirements met</v>
      </c>
      <c r="K8" s="186" t="str">
        <f t="shared" si="2"/>
        <v>OK</v>
      </c>
    </row>
    <row r="9" spans="1:39" s="177" customFormat="1" ht="15" customHeight="1" x14ac:dyDescent="0.2">
      <c r="B9" s="64" t="s">
        <v>441</v>
      </c>
      <c r="C9" s="62" t="s">
        <v>715</v>
      </c>
      <c r="D9" s="181">
        <v>3</v>
      </c>
      <c r="E9" s="181">
        <v>2</v>
      </c>
      <c r="F9" s="181">
        <v>2</v>
      </c>
      <c r="G9" s="181">
        <v>3</v>
      </c>
      <c r="H9" s="181">
        <v>2</v>
      </c>
      <c r="I9" s="184" t="str">
        <f t="shared" si="0"/>
        <v>3,2,2,3,2</v>
      </c>
      <c r="J9" s="185" t="str">
        <f t="shared" si="1"/>
        <v>Requirements met</v>
      </c>
      <c r="K9" s="186" t="str">
        <f t="shared" si="2"/>
        <v>OK</v>
      </c>
    </row>
    <row r="10" spans="1:39" s="177" customFormat="1" ht="15" customHeight="1" x14ac:dyDescent="0.2">
      <c r="B10" s="64" t="s">
        <v>543</v>
      </c>
      <c r="C10" s="62" t="s">
        <v>715</v>
      </c>
      <c r="D10" s="181">
        <v>3</v>
      </c>
      <c r="E10" s="181">
        <v>2</v>
      </c>
      <c r="F10" s="181">
        <v>2</v>
      </c>
      <c r="G10" s="181">
        <v>3</v>
      </c>
      <c r="H10" s="181">
        <v>2</v>
      </c>
      <c r="I10" s="184" t="str">
        <f t="shared" si="0"/>
        <v>3,2,2,3,2</v>
      </c>
      <c r="J10" s="185" t="str">
        <f t="shared" si="1"/>
        <v>Requirements met</v>
      </c>
      <c r="K10" s="186" t="str">
        <f t="shared" si="2"/>
        <v>OK</v>
      </c>
    </row>
    <row r="11" spans="1:39" s="177" customFormat="1" ht="15" customHeight="1" x14ac:dyDescent="0.2">
      <c r="B11" s="64" t="s">
        <v>437</v>
      </c>
      <c r="C11" s="62" t="s">
        <v>715</v>
      </c>
      <c r="D11" s="181">
        <v>3</v>
      </c>
      <c r="E11" s="181">
        <v>2</v>
      </c>
      <c r="F11" s="181">
        <v>2</v>
      </c>
      <c r="G11" s="181">
        <v>3</v>
      </c>
      <c r="H11" s="181">
        <v>2</v>
      </c>
      <c r="I11" s="184" t="str">
        <f t="shared" si="0"/>
        <v>3,2,2,3,2</v>
      </c>
      <c r="J11" s="185" t="str">
        <f t="shared" si="1"/>
        <v>Requirements met</v>
      </c>
      <c r="K11" s="186" t="str">
        <f t="shared" si="2"/>
        <v>OK</v>
      </c>
    </row>
    <row r="12" spans="1:39" s="177" customFormat="1" ht="15" customHeight="1" x14ac:dyDescent="0.2">
      <c r="B12" s="58" t="s">
        <v>439</v>
      </c>
      <c r="C12" s="62" t="s">
        <v>715</v>
      </c>
      <c r="D12" s="181">
        <v>3</v>
      </c>
      <c r="E12" s="181">
        <v>2</v>
      </c>
      <c r="F12" s="181">
        <v>2</v>
      </c>
      <c r="G12" s="181">
        <v>3</v>
      </c>
      <c r="H12" s="181">
        <v>2</v>
      </c>
      <c r="I12" s="184" t="str">
        <f t="shared" si="0"/>
        <v>3,2,2,3,2</v>
      </c>
      <c r="J12" s="185" t="str">
        <f t="shared" si="1"/>
        <v>Requirements met</v>
      </c>
      <c r="K12" s="186" t="str">
        <f t="shared" si="2"/>
        <v>OK</v>
      </c>
    </row>
    <row r="13" spans="1:39" s="177" customFormat="1" ht="15" customHeight="1" x14ac:dyDescent="0.2">
      <c r="B13" s="58" t="s">
        <v>561</v>
      </c>
      <c r="C13" s="62" t="s">
        <v>715</v>
      </c>
      <c r="D13" s="181">
        <v>3</v>
      </c>
      <c r="E13" s="181">
        <v>2</v>
      </c>
      <c r="F13" s="181">
        <v>2</v>
      </c>
      <c r="G13" s="181">
        <v>2</v>
      </c>
      <c r="H13" s="181">
        <v>1</v>
      </c>
      <c r="I13" s="184" t="str">
        <f t="shared" si="0"/>
        <v>3,2,2,2,1</v>
      </c>
      <c r="J13" s="185" t="str">
        <f t="shared" si="1"/>
        <v>Requirements met</v>
      </c>
      <c r="K13" s="186" t="str">
        <f t="shared" si="2"/>
        <v>OK</v>
      </c>
    </row>
    <row r="14" spans="1:39" s="177" customFormat="1" ht="15" customHeight="1" x14ac:dyDescent="0.2">
      <c r="B14" s="58" t="s">
        <v>860</v>
      </c>
      <c r="C14" s="423" t="s">
        <v>867</v>
      </c>
      <c r="D14" s="181">
        <v>2</v>
      </c>
      <c r="E14" s="181">
        <v>2</v>
      </c>
      <c r="F14" s="181">
        <v>2</v>
      </c>
      <c r="G14" s="181">
        <v>2</v>
      </c>
      <c r="H14" s="181">
        <v>2</v>
      </c>
      <c r="I14" s="184" t="str">
        <f t="shared" si="0"/>
        <v>2,2,2,2,2</v>
      </c>
      <c r="J14" s="185" t="str">
        <f t="shared" si="1"/>
        <v>Requirements met</v>
      </c>
      <c r="K14" s="186" t="str">
        <f t="shared" si="2"/>
        <v>OK</v>
      </c>
    </row>
    <row r="15" spans="1:39" s="177" customFormat="1" ht="15" customHeight="1" x14ac:dyDescent="0.2">
      <c r="B15" s="58" t="s">
        <v>862</v>
      </c>
      <c r="C15" s="423" t="s">
        <v>715</v>
      </c>
      <c r="D15" s="181">
        <v>2</v>
      </c>
      <c r="E15" s="181">
        <v>2</v>
      </c>
      <c r="F15" s="181">
        <v>2</v>
      </c>
      <c r="G15" s="181">
        <v>2</v>
      </c>
      <c r="H15" s="181">
        <v>2</v>
      </c>
      <c r="I15" s="184" t="str">
        <f t="shared" si="0"/>
        <v>2,2,2,2,2</v>
      </c>
      <c r="J15" s="185" t="str">
        <f t="shared" si="1"/>
        <v>Requirements met</v>
      </c>
      <c r="K15" s="186" t="str">
        <f t="shared" si="2"/>
        <v>OK</v>
      </c>
    </row>
    <row r="16" spans="1:39" s="177" customFormat="1" ht="15" customHeight="1" x14ac:dyDescent="0.2">
      <c r="B16" s="58" t="s">
        <v>861</v>
      </c>
      <c r="C16" s="423" t="s">
        <v>868</v>
      </c>
      <c r="D16" s="181">
        <v>2</v>
      </c>
      <c r="E16" s="181">
        <v>2</v>
      </c>
      <c r="F16" s="181">
        <v>2</v>
      </c>
      <c r="G16" s="181">
        <v>2</v>
      </c>
      <c r="H16" s="181">
        <v>2</v>
      </c>
      <c r="I16" s="184" t="str">
        <f t="shared" si="0"/>
        <v>2,2,2,2,2</v>
      </c>
      <c r="J16" s="185" t="str">
        <f t="shared" si="1"/>
        <v>Requirements met</v>
      </c>
      <c r="K16" s="186" t="str">
        <f t="shared" si="2"/>
        <v>OK</v>
      </c>
    </row>
    <row r="17" spans="2:11" s="177" customFormat="1" ht="15" customHeight="1" x14ac:dyDescent="0.2">
      <c r="B17" s="69" t="s">
        <v>552</v>
      </c>
      <c r="C17" s="424" t="s">
        <v>680</v>
      </c>
      <c r="D17" s="181">
        <v>3</v>
      </c>
      <c r="E17" s="181">
        <v>2</v>
      </c>
      <c r="F17" s="181">
        <v>2</v>
      </c>
      <c r="G17" s="181">
        <v>2</v>
      </c>
      <c r="H17" s="181">
        <v>1</v>
      </c>
      <c r="I17" s="184" t="str">
        <f t="shared" si="0"/>
        <v>3,2,2,2,1</v>
      </c>
      <c r="J17" s="185" t="str">
        <f t="shared" si="1"/>
        <v>Requirements met</v>
      </c>
      <c r="K17" s="186" t="str">
        <f t="shared" si="2"/>
        <v>OK</v>
      </c>
    </row>
    <row r="18" spans="2:11" s="177" customFormat="1" ht="15" customHeight="1" x14ac:dyDescent="0.2">
      <c r="B18" s="69" t="s">
        <v>512</v>
      </c>
      <c r="C18" s="423" t="s">
        <v>707</v>
      </c>
      <c r="D18" s="181">
        <v>3</v>
      </c>
      <c r="E18" s="181">
        <v>2</v>
      </c>
      <c r="F18" s="181">
        <v>2</v>
      </c>
      <c r="G18" s="181">
        <v>3</v>
      </c>
      <c r="H18" s="181">
        <v>2</v>
      </c>
      <c r="I18" s="184" t="str">
        <f t="shared" si="0"/>
        <v>3,2,2,3,2</v>
      </c>
      <c r="J18" s="185" t="str">
        <f t="shared" si="1"/>
        <v>Requirements met</v>
      </c>
      <c r="K18" s="186" t="str">
        <f t="shared" si="2"/>
        <v>OK</v>
      </c>
    </row>
    <row r="19" spans="2:11" s="177" customFormat="1" ht="15" customHeight="1" x14ac:dyDescent="0.2">
      <c r="B19" s="64" t="s">
        <v>426</v>
      </c>
      <c r="C19" s="423" t="s">
        <v>707</v>
      </c>
      <c r="D19" s="181">
        <v>3</v>
      </c>
      <c r="E19" s="181">
        <v>2</v>
      </c>
      <c r="F19" s="181">
        <v>2</v>
      </c>
      <c r="G19" s="181">
        <v>3</v>
      </c>
      <c r="H19" s="181">
        <v>2</v>
      </c>
      <c r="I19" s="184" t="str">
        <f t="shared" si="0"/>
        <v>3,2,2,3,2</v>
      </c>
      <c r="J19" s="185" t="str">
        <f t="shared" si="1"/>
        <v>Requirements met</v>
      </c>
      <c r="K19" s="186" t="str">
        <f t="shared" si="2"/>
        <v>OK</v>
      </c>
    </row>
    <row r="20" spans="2:11" s="177" customFormat="1" ht="15" customHeight="1" x14ac:dyDescent="0.2">
      <c r="B20" s="64" t="s">
        <v>310</v>
      </c>
      <c r="C20" s="423" t="s">
        <v>707</v>
      </c>
      <c r="D20" s="181">
        <v>3</v>
      </c>
      <c r="E20" s="181">
        <v>2</v>
      </c>
      <c r="F20" s="181">
        <v>2</v>
      </c>
      <c r="G20" s="181">
        <v>3</v>
      </c>
      <c r="H20" s="181">
        <v>2</v>
      </c>
      <c r="I20" s="184" t="str">
        <f t="shared" si="0"/>
        <v>3,2,2,3,2</v>
      </c>
      <c r="J20" s="185" t="str">
        <f t="shared" si="1"/>
        <v>Requirements met</v>
      </c>
      <c r="K20" s="186" t="str">
        <f t="shared" si="2"/>
        <v>OK</v>
      </c>
    </row>
    <row r="21" spans="2:11" s="177" customFormat="1" ht="15" customHeight="1" x14ac:dyDescent="0.2">
      <c r="B21" s="64" t="s">
        <v>312</v>
      </c>
      <c r="C21" s="423" t="s">
        <v>707</v>
      </c>
      <c r="D21" s="181">
        <v>3</v>
      </c>
      <c r="E21" s="181">
        <v>2</v>
      </c>
      <c r="F21" s="181">
        <v>2</v>
      </c>
      <c r="G21" s="181">
        <v>3</v>
      </c>
      <c r="H21" s="181">
        <v>2</v>
      </c>
      <c r="I21" s="184" t="str">
        <f t="shared" si="0"/>
        <v>3,2,2,3,2</v>
      </c>
      <c r="J21" s="185" t="str">
        <f t="shared" si="1"/>
        <v>Requirements met</v>
      </c>
      <c r="K21" s="186" t="str">
        <f t="shared" si="2"/>
        <v>OK</v>
      </c>
    </row>
    <row r="22" spans="2:11" s="177" customFormat="1" ht="15" customHeight="1" x14ac:dyDescent="0.2">
      <c r="B22" s="64" t="s">
        <v>313</v>
      </c>
      <c r="C22" s="423" t="s">
        <v>707</v>
      </c>
      <c r="D22" s="181">
        <v>3</v>
      </c>
      <c r="E22" s="181">
        <v>2</v>
      </c>
      <c r="F22" s="181">
        <v>2</v>
      </c>
      <c r="G22" s="181">
        <v>3</v>
      </c>
      <c r="H22" s="181">
        <v>2</v>
      </c>
      <c r="I22" s="184" t="str">
        <f t="shared" si="0"/>
        <v>3,2,2,3,2</v>
      </c>
      <c r="J22" s="185" t="str">
        <f t="shared" si="1"/>
        <v>Requirements met</v>
      </c>
      <c r="K22" s="186" t="str">
        <f t="shared" si="2"/>
        <v>OK</v>
      </c>
    </row>
    <row r="23" spans="2:11" s="177" customFormat="1" ht="15" customHeight="1" x14ac:dyDescent="0.2">
      <c r="B23" s="64" t="s">
        <v>314</v>
      </c>
      <c r="C23" s="423" t="s">
        <v>707</v>
      </c>
      <c r="D23" s="181">
        <v>3</v>
      </c>
      <c r="E23" s="181">
        <v>2</v>
      </c>
      <c r="F23" s="181">
        <v>2</v>
      </c>
      <c r="G23" s="181">
        <v>3</v>
      </c>
      <c r="H23" s="181">
        <v>2</v>
      </c>
      <c r="I23" s="184" t="str">
        <f t="shared" si="0"/>
        <v>3,2,2,3,2</v>
      </c>
      <c r="J23" s="185" t="str">
        <f t="shared" si="1"/>
        <v>Requirements met</v>
      </c>
      <c r="K23" s="186" t="str">
        <f t="shared" si="2"/>
        <v>OK</v>
      </c>
    </row>
    <row r="24" spans="2:11" s="177" customFormat="1" ht="15" customHeight="1" x14ac:dyDescent="0.2">
      <c r="B24" s="64" t="s">
        <v>900</v>
      </c>
      <c r="C24" s="423" t="s">
        <v>903</v>
      </c>
      <c r="D24" s="181">
        <v>3</v>
      </c>
      <c r="E24" s="181">
        <v>2</v>
      </c>
      <c r="F24" s="181">
        <v>2</v>
      </c>
      <c r="G24" s="181">
        <v>3</v>
      </c>
      <c r="H24" s="181">
        <v>2</v>
      </c>
      <c r="I24" s="184" t="str">
        <f t="shared" si="0"/>
        <v>3,2,2,3,2</v>
      </c>
      <c r="J24" s="185" t="str">
        <f t="shared" si="1"/>
        <v>Requirements met</v>
      </c>
      <c r="K24" s="186" t="str">
        <f t="shared" si="2"/>
        <v>OK</v>
      </c>
    </row>
    <row r="25" spans="2:11" s="177" customFormat="1" ht="15" customHeight="1" x14ac:dyDescent="0.2">
      <c r="B25" s="64" t="s">
        <v>316</v>
      </c>
      <c r="C25" s="423" t="s">
        <v>707</v>
      </c>
      <c r="D25" s="181">
        <v>3</v>
      </c>
      <c r="E25" s="181">
        <v>2</v>
      </c>
      <c r="F25" s="181">
        <v>2</v>
      </c>
      <c r="G25" s="181">
        <v>3</v>
      </c>
      <c r="H25" s="181">
        <v>2</v>
      </c>
      <c r="I25" s="184" t="str">
        <f t="shared" si="0"/>
        <v>3,2,2,3,2</v>
      </c>
      <c r="J25" s="185" t="str">
        <f t="shared" si="1"/>
        <v>Requirements met</v>
      </c>
      <c r="K25" s="186" t="str">
        <f t="shared" si="2"/>
        <v>OK</v>
      </c>
    </row>
    <row r="26" spans="2:11" s="177" customFormat="1" ht="15" customHeight="1" x14ac:dyDescent="0.2">
      <c r="B26" s="64" t="s">
        <v>317</v>
      </c>
      <c r="C26" s="423" t="s">
        <v>707</v>
      </c>
      <c r="D26" s="181">
        <v>3</v>
      </c>
      <c r="E26" s="181">
        <v>2</v>
      </c>
      <c r="F26" s="181">
        <v>2</v>
      </c>
      <c r="G26" s="181">
        <v>3</v>
      </c>
      <c r="H26" s="181">
        <v>2</v>
      </c>
      <c r="I26" s="184" t="str">
        <f t="shared" si="0"/>
        <v>3,2,2,3,2</v>
      </c>
      <c r="J26" s="185" t="str">
        <f t="shared" si="1"/>
        <v>Requirements met</v>
      </c>
      <c r="K26" s="186" t="str">
        <f t="shared" si="2"/>
        <v>OK</v>
      </c>
    </row>
    <row r="27" spans="2:11" s="177" customFormat="1" ht="15" customHeight="1" x14ac:dyDescent="0.2">
      <c r="B27" s="64" t="s">
        <v>318</v>
      </c>
      <c r="C27" s="423" t="s">
        <v>707</v>
      </c>
      <c r="D27" s="181">
        <v>3</v>
      </c>
      <c r="E27" s="181">
        <v>2</v>
      </c>
      <c r="F27" s="181">
        <v>2</v>
      </c>
      <c r="G27" s="181">
        <v>3</v>
      </c>
      <c r="H27" s="181">
        <v>2</v>
      </c>
      <c r="I27" s="184" t="str">
        <f t="shared" si="0"/>
        <v>3,2,2,3,2</v>
      </c>
      <c r="J27" s="185" t="str">
        <f t="shared" si="1"/>
        <v>Requirements met</v>
      </c>
      <c r="K27" s="186" t="str">
        <f t="shared" si="2"/>
        <v>OK</v>
      </c>
    </row>
    <row r="28" spans="2:11" s="177" customFormat="1" ht="15" customHeight="1" x14ac:dyDescent="0.2">
      <c r="B28" s="64" t="s">
        <v>319</v>
      </c>
      <c r="C28" s="423" t="s">
        <v>707</v>
      </c>
      <c r="D28" s="181">
        <v>3</v>
      </c>
      <c r="E28" s="181">
        <v>2</v>
      </c>
      <c r="F28" s="181">
        <v>2</v>
      </c>
      <c r="G28" s="181">
        <v>3</v>
      </c>
      <c r="H28" s="181">
        <v>2</v>
      </c>
      <c r="I28" s="184" t="str">
        <f t="shared" si="0"/>
        <v>3,2,2,3,2</v>
      </c>
      <c r="J28" s="185" t="str">
        <f t="shared" si="1"/>
        <v>Requirements met</v>
      </c>
      <c r="K28" s="186" t="str">
        <f t="shared" si="2"/>
        <v>OK</v>
      </c>
    </row>
    <row r="29" spans="2:11" s="177" customFormat="1" ht="15" customHeight="1" x14ac:dyDescent="0.2">
      <c r="B29" s="64" t="s">
        <v>320</v>
      </c>
      <c r="C29" s="423" t="s">
        <v>707</v>
      </c>
      <c r="D29" s="181">
        <v>3</v>
      </c>
      <c r="E29" s="181">
        <v>2</v>
      </c>
      <c r="F29" s="181">
        <v>2</v>
      </c>
      <c r="G29" s="181">
        <v>3</v>
      </c>
      <c r="H29" s="181">
        <v>2</v>
      </c>
      <c r="I29" s="184" t="str">
        <f t="shared" si="0"/>
        <v>3,2,2,3,2</v>
      </c>
      <c r="J29" s="185" t="str">
        <f t="shared" si="1"/>
        <v>Requirements met</v>
      </c>
      <c r="K29" s="186" t="str">
        <f t="shared" si="2"/>
        <v>OK</v>
      </c>
    </row>
    <row r="30" spans="2:11" s="177" customFormat="1" ht="15" customHeight="1" x14ac:dyDescent="0.2">
      <c r="B30" s="64" t="s">
        <v>321</v>
      </c>
      <c r="C30" s="423" t="s">
        <v>707</v>
      </c>
      <c r="D30" s="181">
        <v>3</v>
      </c>
      <c r="E30" s="181">
        <v>2</v>
      </c>
      <c r="F30" s="181">
        <v>2</v>
      </c>
      <c r="G30" s="181">
        <v>3</v>
      </c>
      <c r="H30" s="181">
        <v>2</v>
      </c>
      <c r="I30" s="184" t="str">
        <f t="shared" si="0"/>
        <v>3,2,2,3,2</v>
      </c>
      <c r="J30" s="185" t="str">
        <f t="shared" si="1"/>
        <v>Requirements met</v>
      </c>
      <c r="K30" s="186" t="str">
        <f t="shared" si="2"/>
        <v>OK</v>
      </c>
    </row>
    <row r="31" spans="2:11" s="177" customFormat="1" ht="15" customHeight="1" x14ac:dyDescent="0.2">
      <c r="B31" s="64" t="s">
        <v>527</v>
      </c>
      <c r="C31" s="423" t="s">
        <v>707</v>
      </c>
      <c r="D31" s="181">
        <v>3</v>
      </c>
      <c r="E31" s="181">
        <v>2</v>
      </c>
      <c r="F31" s="181">
        <v>2</v>
      </c>
      <c r="G31" s="181">
        <v>3</v>
      </c>
      <c r="H31" s="181">
        <v>2</v>
      </c>
      <c r="I31" s="184" t="str">
        <f t="shared" si="0"/>
        <v>3,2,2,3,2</v>
      </c>
      <c r="J31" s="185" t="str">
        <f t="shared" si="1"/>
        <v>Requirements met</v>
      </c>
      <c r="K31" s="186" t="str">
        <f t="shared" si="2"/>
        <v>OK</v>
      </c>
    </row>
    <row r="32" spans="2:11" s="177" customFormat="1" ht="15" customHeight="1" x14ac:dyDescent="0.2">
      <c r="B32" s="64" t="s">
        <v>323</v>
      </c>
      <c r="C32" s="423" t="s">
        <v>707</v>
      </c>
      <c r="D32" s="181">
        <v>3</v>
      </c>
      <c r="E32" s="181">
        <v>2</v>
      </c>
      <c r="F32" s="181">
        <v>2</v>
      </c>
      <c r="G32" s="181">
        <v>3</v>
      </c>
      <c r="H32" s="181">
        <v>2</v>
      </c>
      <c r="I32" s="184" t="str">
        <f t="shared" si="0"/>
        <v>3,2,2,3,2</v>
      </c>
      <c r="J32" s="185" t="str">
        <f t="shared" si="1"/>
        <v>Requirements met</v>
      </c>
      <c r="K32" s="186" t="str">
        <f t="shared" si="2"/>
        <v>OK</v>
      </c>
    </row>
    <row r="33" spans="1:39" s="177" customFormat="1" ht="15" customHeight="1" x14ac:dyDescent="0.2">
      <c r="B33" s="64" t="s">
        <v>324</v>
      </c>
      <c r="C33" s="423" t="s">
        <v>707</v>
      </c>
      <c r="D33" s="181">
        <v>3</v>
      </c>
      <c r="E33" s="181">
        <v>2</v>
      </c>
      <c r="F33" s="181">
        <v>2</v>
      </c>
      <c r="G33" s="181">
        <v>3</v>
      </c>
      <c r="H33" s="181">
        <v>2</v>
      </c>
      <c r="I33" s="184" t="str">
        <f t="shared" si="0"/>
        <v>3,2,2,3,2</v>
      </c>
      <c r="J33" s="185" t="str">
        <f t="shared" si="1"/>
        <v>Requirements met</v>
      </c>
      <c r="K33" s="186" t="str">
        <f t="shared" si="2"/>
        <v>OK</v>
      </c>
    </row>
    <row r="34" spans="1:39" s="177" customFormat="1" ht="15" customHeight="1" x14ac:dyDescent="0.2">
      <c r="B34" s="64" t="s">
        <v>325</v>
      </c>
      <c r="C34" s="423" t="s">
        <v>707</v>
      </c>
      <c r="D34" s="181">
        <v>3</v>
      </c>
      <c r="E34" s="181">
        <v>2</v>
      </c>
      <c r="F34" s="181">
        <v>2</v>
      </c>
      <c r="G34" s="181">
        <v>3</v>
      </c>
      <c r="H34" s="181">
        <v>2</v>
      </c>
      <c r="I34" s="184" t="str">
        <f t="shared" si="0"/>
        <v>3,2,2,3,2</v>
      </c>
      <c r="J34" s="185" t="str">
        <f t="shared" si="1"/>
        <v>Requirements met</v>
      </c>
      <c r="K34" s="186" t="str">
        <f t="shared" si="2"/>
        <v>OK</v>
      </c>
    </row>
    <row r="35" spans="1:39" s="177" customFormat="1" ht="15" customHeight="1" x14ac:dyDescent="0.2">
      <c r="B35" s="64" t="s">
        <v>326</v>
      </c>
      <c r="C35" s="423" t="s">
        <v>707</v>
      </c>
      <c r="D35" s="181">
        <v>3</v>
      </c>
      <c r="E35" s="181">
        <v>2</v>
      </c>
      <c r="F35" s="181">
        <v>2</v>
      </c>
      <c r="G35" s="181">
        <v>3</v>
      </c>
      <c r="H35" s="181">
        <v>2</v>
      </c>
      <c r="I35" s="184" t="str">
        <f t="shared" si="0"/>
        <v>3,2,2,3,2</v>
      </c>
      <c r="J35" s="185" t="str">
        <f t="shared" si="1"/>
        <v>Requirements met</v>
      </c>
      <c r="K35" s="186" t="str">
        <f t="shared" si="2"/>
        <v>OK</v>
      </c>
    </row>
    <row r="36" spans="1:39" s="177" customFormat="1" ht="15" customHeight="1" x14ac:dyDescent="0.2">
      <c r="B36" s="64" t="s">
        <v>327</v>
      </c>
      <c r="C36" s="423" t="s">
        <v>707</v>
      </c>
      <c r="D36" s="181">
        <v>3</v>
      </c>
      <c r="E36" s="181">
        <v>2</v>
      </c>
      <c r="F36" s="181">
        <v>2</v>
      </c>
      <c r="G36" s="181">
        <v>3</v>
      </c>
      <c r="H36" s="181">
        <v>2</v>
      </c>
      <c r="I36" s="184" t="str">
        <f t="shared" si="0"/>
        <v>3,2,2,3,2</v>
      </c>
      <c r="J36" s="185" t="str">
        <f t="shared" si="1"/>
        <v>Requirements met</v>
      </c>
      <c r="K36" s="186" t="str">
        <f t="shared" si="2"/>
        <v>OK</v>
      </c>
    </row>
    <row r="37" spans="1:39" s="177" customFormat="1" ht="15" customHeight="1" x14ac:dyDescent="0.2">
      <c r="B37" s="64" t="s">
        <v>328</v>
      </c>
      <c r="C37" s="423" t="s">
        <v>707</v>
      </c>
      <c r="D37" s="181">
        <v>3</v>
      </c>
      <c r="E37" s="181">
        <v>2</v>
      </c>
      <c r="F37" s="181">
        <v>2</v>
      </c>
      <c r="G37" s="181">
        <v>3</v>
      </c>
      <c r="H37" s="181">
        <v>2</v>
      </c>
      <c r="I37" s="184" t="str">
        <f t="shared" si="0"/>
        <v>3,2,2,3,2</v>
      </c>
      <c r="J37" s="185" t="str">
        <f t="shared" si="1"/>
        <v>Requirements met</v>
      </c>
      <c r="K37" s="186" t="str">
        <f t="shared" si="2"/>
        <v>OK</v>
      </c>
    </row>
    <row r="38" spans="1:39" s="177" customFormat="1" ht="15" customHeight="1" x14ac:dyDescent="0.2">
      <c r="B38" s="64" t="s">
        <v>427</v>
      </c>
      <c r="C38" s="423" t="s">
        <v>707</v>
      </c>
      <c r="D38" s="181">
        <v>3</v>
      </c>
      <c r="E38" s="181">
        <v>2</v>
      </c>
      <c r="F38" s="181">
        <v>2</v>
      </c>
      <c r="G38" s="181">
        <v>3</v>
      </c>
      <c r="H38" s="181">
        <v>2</v>
      </c>
      <c r="I38" s="184" t="str">
        <f t="shared" si="0"/>
        <v>3,2,2,3,2</v>
      </c>
      <c r="J38" s="185" t="str">
        <f t="shared" si="1"/>
        <v>Requirements met</v>
      </c>
      <c r="K38" s="186" t="str">
        <f t="shared" si="2"/>
        <v>OK</v>
      </c>
    </row>
    <row r="39" spans="1:39" s="177" customFormat="1" ht="15" customHeight="1" x14ac:dyDescent="0.2">
      <c r="B39" s="64" t="s">
        <v>536</v>
      </c>
      <c r="C39" s="425" t="s">
        <v>680</v>
      </c>
      <c r="D39" s="181">
        <v>3</v>
      </c>
      <c r="E39" s="181">
        <v>2</v>
      </c>
      <c r="F39" s="181">
        <v>2</v>
      </c>
      <c r="G39" s="181">
        <v>3</v>
      </c>
      <c r="H39" s="181">
        <v>1</v>
      </c>
      <c r="I39" s="184" t="str">
        <f t="shared" si="0"/>
        <v>3,2,2,3,1</v>
      </c>
      <c r="J39" s="185" t="str">
        <f t="shared" si="1"/>
        <v>Requirements met</v>
      </c>
      <c r="K39" s="186" t="str">
        <f t="shared" si="2"/>
        <v>OK</v>
      </c>
    </row>
    <row r="40" spans="1:39" s="177" customFormat="1" ht="15" customHeight="1" x14ac:dyDescent="0.2">
      <c r="B40" s="64" t="s">
        <v>553</v>
      </c>
      <c r="C40" s="425" t="s">
        <v>715</v>
      </c>
      <c r="D40" s="181">
        <v>3</v>
      </c>
      <c r="E40" s="181">
        <v>2</v>
      </c>
      <c r="F40" s="181">
        <v>2</v>
      </c>
      <c r="G40" s="181">
        <v>3</v>
      </c>
      <c r="H40" s="181">
        <v>2</v>
      </c>
      <c r="I40" s="184" t="str">
        <f t="shared" si="0"/>
        <v>3,2,2,3,2</v>
      </c>
      <c r="J40" s="185" t="str">
        <f t="shared" si="1"/>
        <v>Requirements met</v>
      </c>
      <c r="K40" s="186" t="str">
        <f t="shared" si="2"/>
        <v>OK</v>
      </c>
    </row>
    <row r="41" spans="1:39" s="177" customFormat="1" ht="15" customHeight="1" x14ac:dyDescent="0.2">
      <c r="B41" s="64" t="s">
        <v>555</v>
      </c>
      <c r="C41" s="425" t="s">
        <v>715</v>
      </c>
      <c r="D41" s="181">
        <v>3</v>
      </c>
      <c r="E41" s="181">
        <v>2</v>
      </c>
      <c r="F41" s="181">
        <v>2</v>
      </c>
      <c r="G41" s="181">
        <v>3</v>
      </c>
      <c r="H41" s="181">
        <v>2</v>
      </c>
      <c r="I41" s="184" t="str">
        <f t="shared" si="0"/>
        <v>3,2,2,3,2</v>
      </c>
      <c r="J41" s="185" t="str">
        <f t="shared" si="1"/>
        <v>Requirements met</v>
      </c>
      <c r="K41" s="186" t="str">
        <f t="shared" si="2"/>
        <v>OK</v>
      </c>
    </row>
    <row r="42" spans="1:39" s="177" customFormat="1" ht="15" customHeight="1" x14ac:dyDescent="0.2">
      <c r="B42" s="64" t="s">
        <v>557</v>
      </c>
      <c r="C42" s="425" t="s">
        <v>715</v>
      </c>
      <c r="D42" s="181">
        <v>3</v>
      </c>
      <c r="E42" s="181">
        <v>2</v>
      </c>
      <c r="F42" s="181">
        <v>2</v>
      </c>
      <c r="G42" s="181">
        <v>3</v>
      </c>
      <c r="H42" s="181">
        <v>2</v>
      </c>
      <c r="I42" s="184" t="str">
        <f t="shared" si="0"/>
        <v>3,2,2,3,2</v>
      </c>
      <c r="J42" s="185" t="str">
        <f t="shared" si="1"/>
        <v>Requirements met</v>
      </c>
      <c r="K42" s="186" t="str">
        <f t="shared" si="2"/>
        <v>OK</v>
      </c>
    </row>
    <row r="43" spans="1:39" s="177" customFormat="1" ht="15" customHeight="1" x14ac:dyDescent="0.2">
      <c r="B43" s="64" t="s">
        <v>564</v>
      </c>
      <c r="C43" s="425" t="s">
        <v>715</v>
      </c>
      <c r="D43" s="181">
        <v>3</v>
      </c>
      <c r="E43" s="181">
        <v>2</v>
      </c>
      <c r="F43" s="181">
        <v>2</v>
      </c>
      <c r="G43" s="181">
        <v>3</v>
      </c>
      <c r="H43" s="181">
        <v>2</v>
      </c>
      <c r="I43" s="184" t="str">
        <f t="shared" si="0"/>
        <v>3,2,2,3,2</v>
      </c>
      <c r="J43" s="185" t="str">
        <f t="shared" si="1"/>
        <v>Requirements met</v>
      </c>
      <c r="K43" s="186" t="str">
        <f t="shared" si="2"/>
        <v>OK</v>
      </c>
    </row>
    <row r="44" spans="1:39" s="177" customFormat="1" ht="15" customHeight="1" x14ac:dyDescent="0.2">
      <c r="B44" s="64" t="s">
        <v>559</v>
      </c>
      <c r="C44" s="425" t="s">
        <v>715</v>
      </c>
      <c r="D44" s="181">
        <v>3</v>
      </c>
      <c r="E44" s="181">
        <v>2</v>
      </c>
      <c r="F44" s="181">
        <v>2</v>
      </c>
      <c r="G44" s="181">
        <v>3</v>
      </c>
      <c r="H44" s="181">
        <v>2</v>
      </c>
      <c r="I44" s="184" t="str">
        <f t="shared" si="0"/>
        <v>3,2,2,3,2</v>
      </c>
      <c r="J44" s="185" t="str">
        <f t="shared" si="1"/>
        <v>Requirements met</v>
      </c>
      <c r="K44" s="186" t="str">
        <f t="shared" si="2"/>
        <v>OK</v>
      </c>
    </row>
    <row r="45" spans="1:39" s="177" customFormat="1" ht="12.75" customHeight="1" x14ac:dyDescent="0.2">
      <c r="B45" s="188" t="s">
        <v>73</v>
      </c>
      <c r="C45" s="189"/>
      <c r="D45" s="189"/>
      <c r="E45" s="181"/>
      <c r="F45" s="181"/>
      <c r="G45" s="189"/>
      <c r="H45" s="189"/>
      <c r="I45" s="190" t="str">
        <f>MAX(D4:D7)&amp;","&amp;MAX(E4:E7)&amp;","&amp;MAX(F4:F7)&amp;","&amp;MAX(G4:G7)&amp;","&amp;MAX(H4:H7)</f>
        <v>3,2,2,2,1</v>
      </c>
      <c r="J45" s="529"/>
      <c r="K45" s="529"/>
    </row>
    <row r="46" spans="1:39" ht="20.25" x14ac:dyDescent="0.3">
      <c r="B46" s="11"/>
      <c r="C46" s="11"/>
      <c r="D46" s="11"/>
      <c r="E46" s="11"/>
      <c r="F46" s="11"/>
      <c r="G46" s="11"/>
      <c r="H46" s="11"/>
      <c r="I46" s="79"/>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row>
    <row r="47" spans="1:39" ht="20.25" x14ac:dyDescent="0.3">
      <c r="A47" s="178" t="s">
        <v>181</v>
      </c>
      <c r="C47" s="11"/>
      <c r="D47" s="11"/>
      <c r="E47" s="11"/>
      <c r="F47" s="11"/>
      <c r="G47" s="11"/>
      <c r="H47" s="79"/>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row>
    <row r="48" spans="1:39" s="192" customFormat="1" ht="13.5" thickBot="1" x14ac:dyDescent="0.25">
      <c r="A48" s="191" t="s">
        <v>182</v>
      </c>
    </row>
    <row r="49" spans="1:18" ht="17.25" customHeight="1" thickBot="1" x14ac:dyDescent="0.25">
      <c r="B49" s="530" t="s">
        <v>183</v>
      </c>
      <c r="C49" s="532" t="s">
        <v>184</v>
      </c>
      <c r="D49" s="533"/>
      <c r="E49" s="533"/>
      <c r="F49" s="533"/>
      <c r="G49" s="534"/>
    </row>
    <row r="50" spans="1:18" ht="13.5" thickBot="1" x14ac:dyDescent="0.25">
      <c r="B50" s="531"/>
      <c r="C50" s="193">
        <v>1</v>
      </c>
      <c r="D50" s="193">
        <v>2</v>
      </c>
      <c r="E50" s="193">
        <v>3</v>
      </c>
      <c r="F50" s="193">
        <v>4</v>
      </c>
      <c r="G50" s="193">
        <v>5</v>
      </c>
    </row>
    <row r="51" spans="1:18" ht="84.75" thickBot="1" x14ac:dyDescent="0.25">
      <c r="B51" s="535" t="s">
        <v>185</v>
      </c>
      <c r="C51" s="194" t="s">
        <v>186</v>
      </c>
      <c r="D51" s="194" t="s">
        <v>187</v>
      </c>
      <c r="E51" s="194" t="s">
        <v>188</v>
      </c>
      <c r="F51" s="194" t="s">
        <v>189</v>
      </c>
      <c r="G51" s="194" t="s">
        <v>190</v>
      </c>
    </row>
    <row r="52" spans="1:18" ht="24" customHeight="1" thickBot="1" x14ac:dyDescent="0.25">
      <c r="B52" s="536"/>
      <c r="C52" s="538" t="s">
        <v>191</v>
      </c>
      <c r="D52" s="539"/>
      <c r="E52" s="538" t="s">
        <v>192</v>
      </c>
      <c r="F52" s="540"/>
      <c r="G52" s="539"/>
    </row>
    <row r="53" spans="1:18" ht="36.75" thickBot="1" x14ac:dyDescent="0.25">
      <c r="B53" s="537"/>
      <c r="C53" s="195" t="s">
        <v>193</v>
      </c>
      <c r="D53" s="541" t="s">
        <v>194</v>
      </c>
      <c r="E53" s="542"/>
      <c r="F53" s="543" t="s">
        <v>195</v>
      </c>
      <c r="G53" s="544"/>
    </row>
    <row r="54" spans="1:18" ht="60.75" thickBot="1" x14ac:dyDescent="0.25">
      <c r="B54" s="196" t="s">
        <v>98</v>
      </c>
      <c r="C54" s="194" t="s">
        <v>196</v>
      </c>
      <c r="D54" s="194" t="s">
        <v>197</v>
      </c>
      <c r="E54" s="194" t="s">
        <v>198</v>
      </c>
      <c r="F54" s="194" t="s">
        <v>199</v>
      </c>
      <c r="G54" s="194" t="s">
        <v>200</v>
      </c>
    </row>
    <row r="55" spans="1:18" ht="44.25" customHeight="1" thickBot="1" x14ac:dyDescent="0.25">
      <c r="B55" s="196" t="s">
        <v>176</v>
      </c>
      <c r="C55" s="194" t="s">
        <v>201</v>
      </c>
      <c r="D55" s="194" t="s">
        <v>202</v>
      </c>
      <c r="E55" s="194" t="s">
        <v>203</v>
      </c>
      <c r="F55" s="194" t="s">
        <v>204</v>
      </c>
      <c r="G55" s="194" t="s">
        <v>205</v>
      </c>
    </row>
    <row r="56" spans="1:18" ht="44.25" customHeight="1" thickBot="1" x14ac:dyDescent="0.25">
      <c r="B56" s="196" t="s">
        <v>177</v>
      </c>
      <c r="C56" s="194" t="s">
        <v>206</v>
      </c>
      <c r="D56" s="194" t="s">
        <v>207</v>
      </c>
      <c r="E56" s="194" t="s">
        <v>208</v>
      </c>
      <c r="F56" s="194" t="s">
        <v>209</v>
      </c>
      <c r="G56" s="194" t="s">
        <v>210</v>
      </c>
    </row>
    <row r="57" spans="1:18" ht="44.25" customHeight="1" thickBot="1" x14ac:dyDescent="0.25">
      <c r="B57" s="196" t="s">
        <v>211</v>
      </c>
      <c r="C57" s="194" t="s">
        <v>212</v>
      </c>
      <c r="D57" s="538" t="s">
        <v>213</v>
      </c>
      <c r="E57" s="539"/>
      <c r="F57" s="194" t="s">
        <v>214</v>
      </c>
      <c r="G57" s="194" t="s">
        <v>215</v>
      </c>
    </row>
    <row r="58" spans="1:18" x14ac:dyDescent="0.2">
      <c r="B58" s="197"/>
      <c r="C58" s="198"/>
      <c r="D58" s="198"/>
      <c r="E58" s="198"/>
      <c r="F58" s="198"/>
      <c r="G58" s="198"/>
    </row>
    <row r="59" spans="1:18" customFormat="1" ht="15" x14ac:dyDescent="0.25">
      <c r="A59" s="199" t="s">
        <v>216</v>
      </c>
      <c r="C59" s="200"/>
      <c r="D59" s="200"/>
      <c r="E59" s="200"/>
      <c r="F59" s="200"/>
      <c r="G59" s="200"/>
      <c r="H59" s="200"/>
      <c r="I59" s="200"/>
      <c r="J59" s="200"/>
      <c r="K59" s="200"/>
      <c r="L59" s="200"/>
      <c r="M59" s="200"/>
      <c r="N59" s="200"/>
      <c r="O59" s="200"/>
      <c r="P59" s="200"/>
      <c r="Q59" s="200"/>
      <c r="R59" s="200"/>
    </row>
    <row r="60" spans="1:18" customFormat="1" ht="15" x14ac:dyDescent="0.25">
      <c r="B60" s="201" t="s">
        <v>217</v>
      </c>
      <c r="C60" s="202"/>
      <c r="D60" s="202"/>
      <c r="E60" s="202"/>
      <c r="F60" s="202"/>
      <c r="G60" s="202"/>
      <c r="H60" s="203"/>
      <c r="I60" s="200"/>
      <c r="J60" s="200"/>
      <c r="K60" s="200"/>
      <c r="L60" s="200"/>
      <c r="M60" s="200"/>
      <c r="N60" s="200"/>
      <c r="O60" s="200"/>
      <c r="P60" s="200"/>
      <c r="Q60" s="200"/>
      <c r="R60" s="200"/>
    </row>
    <row r="61" spans="1:18" customFormat="1" ht="65.25" customHeight="1" x14ac:dyDescent="0.25">
      <c r="B61" s="204"/>
      <c r="C61" s="526" t="s">
        <v>218</v>
      </c>
      <c r="D61" s="527"/>
      <c r="E61" s="527"/>
      <c r="F61" s="527"/>
      <c r="G61" s="527"/>
      <c r="H61" s="528"/>
      <c r="N61" s="205"/>
      <c r="O61" s="205"/>
      <c r="P61" s="205"/>
      <c r="Q61" s="205"/>
      <c r="R61" s="205"/>
    </row>
    <row r="62" spans="1:18" customFormat="1" ht="15" x14ac:dyDescent="0.25">
      <c r="B62" s="204"/>
      <c r="C62" s="206" t="s">
        <v>219</v>
      </c>
      <c r="D62" s="207"/>
      <c r="E62" s="207"/>
      <c r="F62" s="207"/>
      <c r="G62" s="207"/>
      <c r="H62" s="208"/>
      <c r="I62" s="200"/>
      <c r="J62" s="200"/>
      <c r="K62" s="200"/>
      <c r="L62" s="200"/>
      <c r="M62" s="200"/>
      <c r="N62" s="200"/>
      <c r="O62" s="200"/>
      <c r="P62" s="200"/>
      <c r="Q62" s="200"/>
      <c r="R62" s="200"/>
    </row>
    <row r="63" spans="1:18" customFormat="1" ht="15" x14ac:dyDescent="0.25">
      <c r="B63" s="204"/>
      <c r="C63" s="209" t="s">
        <v>220</v>
      </c>
      <c r="D63" s="210"/>
      <c r="E63" s="210"/>
      <c r="F63" s="210"/>
      <c r="G63" s="210"/>
      <c r="H63" s="211"/>
      <c r="I63" s="200"/>
      <c r="J63" s="200"/>
      <c r="K63" s="200"/>
      <c r="L63" s="200"/>
      <c r="M63" s="200"/>
      <c r="N63" s="200"/>
      <c r="O63" s="200"/>
      <c r="P63" s="200"/>
      <c r="Q63" s="200"/>
      <c r="R63" s="200"/>
    </row>
    <row r="64" spans="1:18" customFormat="1" ht="15" x14ac:dyDescent="0.25">
      <c r="B64" s="204"/>
      <c r="C64" s="209" t="s">
        <v>221</v>
      </c>
      <c r="D64" s="210"/>
      <c r="E64" s="210"/>
      <c r="F64" s="210"/>
      <c r="G64" s="210"/>
      <c r="H64" s="211"/>
      <c r="I64" s="200"/>
      <c r="J64" s="200"/>
      <c r="K64" s="200"/>
      <c r="L64" s="200"/>
      <c r="M64" s="200"/>
      <c r="N64" s="200"/>
      <c r="O64" s="200"/>
      <c r="P64" s="200"/>
      <c r="Q64" s="200"/>
      <c r="R64" s="200"/>
    </row>
    <row r="65" spans="1:18" customFormat="1" ht="15" x14ac:dyDescent="0.25">
      <c r="B65" s="204"/>
      <c r="C65" s="209" t="s">
        <v>222</v>
      </c>
      <c r="D65" s="210"/>
      <c r="E65" s="210"/>
      <c r="F65" s="210"/>
      <c r="G65" s="210"/>
      <c r="H65" s="211"/>
      <c r="I65" s="200"/>
      <c r="J65" s="200"/>
      <c r="K65" s="200"/>
      <c r="L65" s="200"/>
      <c r="M65" s="200"/>
      <c r="N65" s="200"/>
      <c r="O65" s="200"/>
      <c r="P65" s="200"/>
      <c r="Q65" s="200"/>
      <c r="R65" s="200"/>
    </row>
    <row r="66" spans="1:18" customFormat="1" ht="15" x14ac:dyDescent="0.25">
      <c r="B66" s="204"/>
      <c r="C66" s="209" t="s">
        <v>223</v>
      </c>
      <c r="D66" s="210"/>
      <c r="E66" s="210"/>
      <c r="F66" s="210"/>
      <c r="G66" s="210"/>
      <c r="H66" s="211"/>
      <c r="I66" s="200"/>
      <c r="J66" s="200"/>
      <c r="K66" s="200"/>
      <c r="L66" s="200"/>
      <c r="M66" s="200"/>
      <c r="N66" s="200"/>
      <c r="O66" s="200"/>
      <c r="P66" s="200"/>
      <c r="Q66" s="200"/>
      <c r="R66" s="200"/>
    </row>
    <row r="67" spans="1:18" customFormat="1" ht="41.25" customHeight="1" x14ac:dyDescent="0.25">
      <c r="B67" s="204"/>
      <c r="C67" s="545" t="s">
        <v>224</v>
      </c>
      <c r="D67" s="546"/>
      <c r="E67" s="546"/>
      <c r="F67" s="546"/>
      <c r="G67" s="546"/>
      <c r="H67" s="547"/>
      <c r="N67" s="212"/>
      <c r="O67" s="212"/>
      <c r="P67" s="212"/>
      <c r="Q67" s="200"/>
      <c r="R67" s="200"/>
    </row>
    <row r="68" spans="1:18" customFormat="1" ht="38.25" customHeight="1" x14ac:dyDescent="0.25">
      <c r="B68" s="213"/>
      <c r="C68" s="526" t="s">
        <v>225</v>
      </c>
      <c r="D68" s="527"/>
      <c r="E68" s="527"/>
      <c r="F68" s="527"/>
      <c r="G68" s="527"/>
      <c r="H68" s="528"/>
      <c r="N68" s="205"/>
      <c r="O68" s="205"/>
      <c r="P68" s="205"/>
      <c r="Q68" s="205"/>
      <c r="R68" s="200"/>
    </row>
    <row r="69" spans="1:18" customFormat="1" ht="43.5" customHeight="1" x14ac:dyDescent="0.25">
      <c r="B69" s="526" t="s">
        <v>226</v>
      </c>
      <c r="C69" s="527"/>
      <c r="D69" s="527"/>
      <c r="E69" s="527"/>
      <c r="F69" s="527"/>
      <c r="G69" s="527"/>
      <c r="H69" s="528"/>
      <c r="I69" s="200"/>
      <c r="J69" s="200"/>
      <c r="K69" s="200"/>
      <c r="L69" s="200"/>
      <c r="M69" s="200"/>
      <c r="N69" s="200"/>
      <c r="O69" s="200"/>
      <c r="P69" s="200"/>
      <c r="Q69" s="200"/>
      <c r="R69" s="200"/>
    </row>
    <row r="70" spans="1:18" customFormat="1" ht="49.5" customHeight="1" x14ac:dyDescent="0.25">
      <c r="B70" s="526" t="s">
        <v>227</v>
      </c>
      <c r="C70" s="527"/>
      <c r="D70" s="527"/>
      <c r="E70" s="527"/>
      <c r="F70" s="527"/>
      <c r="G70" s="527"/>
      <c r="H70" s="528"/>
      <c r="I70" s="214"/>
    </row>
    <row r="71" spans="1:18" customFormat="1" ht="46.5" customHeight="1" x14ac:dyDescent="0.25">
      <c r="B71" s="526" t="s">
        <v>228</v>
      </c>
      <c r="C71" s="527"/>
      <c r="D71" s="527"/>
      <c r="E71" s="527"/>
      <c r="F71" s="527"/>
      <c r="G71" s="527"/>
      <c r="H71" s="528"/>
      <c r="I71" s="214"/>
    </row>
    <row r="72" spans="1:18" customFormat="1" ht="30" customHeight="1" x14ac:dyDescent="0.25">
      <c r="B72" s="526" t="s">
        <v>229</v>
      </c>
      <c r="C72" s="527"/>
      <c r="D72" s="527"/>
      <c r="E72" s="527"/>
      <c r="F72" s="527"/>
      <c r="G72" s="527"/>
      <c r="H72" s="528"/>
      <c r="I72" s="214"/>
    </row>
    <row r="73" spans="1:18" customFormat="1" ht="15" customHeight="1" x14ac:dyDescent="0.25">
      <c r="A73" s="215" t="s">
        <v>230</v>
      </c>
      <c r="B73" s="215"/>
      <c r="I73" s="216"/>
    </row>
    <row r="74" spans="1:18" customFormat="1" ht="30" customHeight="1" x14ac:dyDescent="0.25">
      <c r="B74" s="549" t="s">
        <v>231</v>
      </c>
      <c r="C74" s="550"/>
      <c r="D74" s="550"/>
      <c r="E74" s="550"/>
      <c r="F74" s="550"/>
      <c r="G74" s="550"/>
      <c r="H74" s="551"/>
    </row>
    <row r="75" spans="1:18" customFormat="1" ht="12.75" customHeight="1" x14ac:dyDescent="0.25">
      <c r="B75" s="552" t="s">
        <v>232</v>
      </c>
      <c r="C75" s="553"/>
      <c r="D75" s="553"/>
      <c r="E75" s="553"/>
      <c r="F75" s="553"/>
      <c r="G75" s="217"/>
      <c r="H75" s="218"/>
    </row>
    <row r="76" spans="1:18" customFormat="1" ht="29.25" customHeight="1" x14ac:dyDescent="0.25">
      <c r="B76" s="554" t="s">
        <v>233</v>
      </c>
      <c r="C76" s="555"/>
      <c r="D76" s="555"/>
      <c r="E76" s="555"/>
      <c r="F76" s="555"/>
      <c r="G76" s="555"/>
      <c r="H76" s="556"/>
    </row>
    <row r="77" spans="1:18" customFormat="1" ht="15" customHeight="1" x14ac:dyDescent="0.25">
      <c r="B77" s="219" t="s">
        <v>234</v>
      </c>
      <c r="C77" s="217"/>
      <c r="D77" s="217"/>
      <c r="E77" s="217"/>
      <c r="F77" s="217"/>
      <c r="G77" s="217"/>
      <c r="H77" s="218"/>
    </row>
    <row r="78" spans="1:18" customFormat="1" ht="30.75" customHeight="1" x14ac:dyDescent="0.25">
      <c r="B78" s="554" t="s">
        <v>235</v>
      </c>
      <c r="C78" s="555"/>
      <c r="D78" s="555"/>
      <c r="E78" s="555"/>
      <c r="F78" s="555"/>
      <c r="G78" s="555"/>
      <c r="H78" s="556"/>
    </row>
    <row r="79" spans="1:18" customFormat="1" ht="12.75" customHeight="1" x14ac:dyDescent="0.25">
      <c r="B79" s="557" t="s">
        <v>236</v>
      </c>
      <c r="C79" s="558"/>
      <c r="D79" s="558"/>
      <c r="E79" s="558"/>
      <c r="F79" s="558"/>
      <c r="G79" s="558"/>
      <c r="H79" s="218"/>
    </row>
    <row r="80" spans="1:18" customFormat="1" ht="35.25" customHeight="1" x14ac:dyDescent="0.25">
      <c r="B80" s="554" t="s">
        <v>237</v>
      </c>
      <c r="C80" s="555"/>
      <c r="D80" s="555"/>
      <c r="E80" s="555"/>
      <c r="F80" s="555"/>
      <c r="G80" s="555"/>
      <c r="H80" s="556"/>
    </row>
    <row r="81" spans="2:8" customFormat="1" ht="24.75" customHeight="1" x14ac:dyDescent="0.25">
      <c r="B81" s="559" t="s">
        <v>238</v>
      </c>
      <c r="C81" s="560"/>
      <c r="D81" s="560"/>
      <c r="E81" s="560"/>
      <c r="F81" s="560"/>
      <c r="G81" s="560"/>
      <c r="H81" s="561"/>
    </row>
    <row r="82" spans="2:8" customFormat="1" ht="27.75" customHeight="1" x14ac:dyDescent="0.25">
      <c r="B82" s="545" t="s">
        <v>239</v>
      </c>
      <c r="C82" s="546"/>
      <c r="D82" s="546"/>
      <c r="E82" s="546"/>
      <c r="F82" s="546"/>
      <c r="G82" s="546"/>
      <c r="H82" s="547"/>
    </row>
    <row r="83" spans="2:8" customFormat="1" ht="21" customHeight="1" x14ac:dyDescent="0.25">
      <c r="B83" s="526" t="s">
        <v>240</v>
      </c>
      <c r="C83" s="527"/>
      <c r="D83" s="527"/>
      <c r="E83" s="527"/>
      <c r="F83" s="527"/>
      <c r="G83" s="527"/>
      <c r="H83" s="528"/>
    </row>
    <row r="84" spans="2:8" customFormat="1" ht="26.25" customHeight="1" x14ac:dyDescent="0.25">
      <c r="B84" s="548" t="s">
        <v>241</v>
      </c>
      <c r="C84" s="548"/>
      <c r="D84" s="548"/>
      <c r="E84" s="548"/>
      <c r="F84" s="548"/>
      <c r="G84" s="548"/>
      <c r="H84" s="548"/>
    </row>
  </sheetData>
  <mergeCells count="27">
    <mergeCell ref="B84:H84"/>
    <mergeCell ref="B71:H71"/>
    <mergeCell ref="B72:H72"/>
    <mergeCell ref="B74:H74"/>
    <mergeCell ref="B75:F75"/>
    <mergeCell ref="B76:H76"/>
    <mergeCell ref="B78:H78"/>
    <mergeCell ref="B79:G79"/>
    <mergeCell ref="B80:H80"/>
    <mergeCell ref="B81:H81"/>
    <mergeCell ref="B82:H82"/>
    <mergeCell ref="B83:H83"/>
    <mergeCell ref="B70:H70"/>
    <mergeCell ref="A1:K1"/>
    <mergeCell ref="J45:K45"/>
    <mergeCell ref="B49:B50"/>
    <mergeCell ref="C49:G49"/>
    <mergeCell ref="B51:B53"/>
    <mergeCell ref="C52:D52"/>
    <mergeCell ref="E52:G52"/>
    <mergeCell ref="D53:E53"/>
    <mergeCell ref="F53:G53"/>
    <mergeCell ref="D57:E57"/>
    <mergeCell ref="C61:H61"/>
    <mergeCell ref="C67:H67"/>
    <mergeCell ref="C68:H68"/>
    <mergeCell ref="B69:H69"/>
  </mergeCells>
  <conditionalFormatting sqref="J4:K4 J8:K8 J12:K12 J16:K16 J20:K20 J24:K24 J28:K28 J32:K32 J36:K36 J40:K40 J44:K44">
    <cfRule type="expression" dxfId="4" priority="5">
      <formula>MAX(D4:H4)&gt;=5</formula>
    </cfRule>
  </conditionalFormatting>
  <conditionalFormatting sqref="J5:K5 J9:K9 J13:K13 J17:K17 J21:K21 J25:K25 J29:K29 J33:K33 J37:K37 J41:K41">
    <cfRule type="expression" dxfId="3" priority="4">
      <formula>MAX(D5:H5)&gt;=5</formula>
    </cfRule>
  </conditionalFormatting>
  <conditionalFormatting sqref="J6:K6 J10:K10 J14:K14 J18:K18 J22:K22 J26:K26 J30:K30 J34:K34 J38:K38 J42:K42">
    <cfRule type="expression" dxfId="2" priority="3">
      <formula>MAX(D6:H6)&gt;=5</formula>
    </cfRule>
  </conditionalFormatting>
  <conditionalFormatting sqref="J7:K7 J11:K11 J15:K15 J19:K19 J23:K23 J27:K27 J31:K31 J35:K35 J39:K39 J43:K43">
    <cfRule type="expression" dxfId="1" priority="2">
      <formula>MAX(D7:H7)&gt;=5</formula>
    </cfRule>
  </conditionalFormatting>
  <conditionalFormatting sqref="I45">
    <cfRule type="expression" dxfId="0" priority="1">
      <formula>MAX(#REF!)&gt;=5</formula>
    </cfRule>
  </conditionalFormatting>
  <pageMargins left="0.7" right="0.7" top="0.75" bottom="0.75" header="0.3" footer="0.3"/>
  <pageSetup paperSize="3" orientation="landscape" r:id="rId1"/>
  <headerFooter>
    <oddFooter>Page &amp;P&amp;R&amp;F</oddFooter>
  </headerFooter>
  <rowBreaks count="1" manualBreakCount="1">
    <brk id="58" max="16383" man="1"/>
  </rowBreaks>
  <ignoredErrors>
    <ignoredError sqref="I45"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97"/>
  <sheetViews>
    <sheetView workbookViewId="0">
      <selection activeCell="I52" sqref="I52"/>
    </sheetView>
  </sheetViews>
  <sheetFormatPr defaultRowHeight="15" x14ac:dyDescent="0.25"/>
  <cols>
    <col min="1" max="1" width="22" style="236" customWidth="1"/>
    <col min="2" max="2" width="12.85546875" style="236" customWidth="1"/>
    <col min="3" max="3" width="14.85546875" style="236" customWidth="1"/>
    <col min="4" max="4" width="9.140625" style="236"/>
    <col min="5" max="5" width="19.85546875" style="236" customWidth="1"/>
    <col min="6" max="6" width="12.5703125" style="236" customWidth="1"/>
    <col min="7" max="7" width="18.42578125" style="236" customWidth="1"/>
    <col min="8" max="8" width="23.140625" style="236" customWidth="1"/>
    <col min="9" max="9" width="20" style="236" customWidth="1"/>
    <col min="10" max="10" width="12" style="236" customWidth="1"/>
    <col min="11" max="11" width="22.85546875" style="236" customWidth="1"/>
    <col min="12" max="12" width="21" style="236" customWidth="1"/>
    <col min="13" max="13" width="25.28515625" style="236" customWidth="1"/>
    <col min="14" max="14" width="9.140625" style="236"/>
    <col min="15" max="15" width="21" style="236" customWidth="1"/>
    <col min="16" max="16" width="9.28515625" style="236" bestFit="1" customWidth="1"/>
    <col min="17" max="16384" width="9.140625" style="236"/>
  </cols>
  <sheetData>
    <row r="1" spans="1:12" ht="21" x14ac:dyDescent="0.35">
      <c r="F1" s="237" t="s">
        <v>374</v>
      </c>
    </row>
    <row r="2" spans="1:12" x14ac:dyDescent="0.25">
      <c r="A2" s="238"/>
    </row>
    <row r="3" spans="1:12" x14ac:dyDescent="0.25">
      <c r="A3" s="236" t="s">
        <v>247</v>
      </c>
      <c r="C3" s="236" t="s">
        <v>692</v>
      </c>
      <c r="H3" s="239"/>
      <c r="I3" s="239"/>
    </row>
    <row r="4" spans="1:12" x14ac:dyDescent="0.25">
      <c r="A4" s="240">
        <v>0.72</v>
      </c>
      <c r="B4" s="236" t="s">
        <v>248</v>
      </c>
      <c r="C4" s="240"/>
      <c r="H4" s="241"/>
      <c r="I4" s="242"/>
    </row>
    <row r="5" spans="1:12" x14ac:dyDescent="0.25">
      <c r="A5" s="240">
        <v>0.27</v>
      </c>
      <c r="B5" s="236" t="s">
        <v>249</v>
      </c>
      <c r="H5" s="238"/>
      <c r="I5" s="243"/>
    </row>
    <row r="6" spans="1:12" x14ac:dyDescent="0.25">
      <c r="A6" s="240">
        <v>0.01</v>
      </c>
      <c r="B6" s="236" t="s">
        <v>250</v>
      </c>
      <c r="H6" s="238"/>
      <c r="I6" s="244"/>
    </row>
    <row r="7" spans="1:12" ht="15.75" thickBot="1" x14ac:dyDescent="0.3">
      <c r="H7" s="238"/>
      <c r="I7" s="244"/>
    </row>
    <row r="8" spans="1:12" x14ac:dyDescent="0.25">
      <c r="A8" s="236">
        <v>10.81</v>
      </c>
      <c r="B8" s="236" t="s">
        <v>251</v>
      </c>
      <c r="H8" s="245" t="s">
        <v>252</v>
      </c>
      <c r="I8" s="246" t="s">
        <v>253</v>
      </c>
      <c r="J8" t="s">
        <v>660</v>
      </c>
    </row>
    <row r="9" spans="1:12" ht="18" x14ac:dyDescent="0.35">
      <c r="A9" s="247">
        <v>55.255000000000003</v>
      </c>
      <c r="B9" s="236" t="s">
        <v>254</v>
      </c>
      <c r="H9" s="248" t="s">
        <v>255</v>
      </c>
      <c r="I9" s="249">
        <v>5.5844999999999999E-2</v>
      </c>
    </row>
    <row r="10" spans="1:12" ht="18" x14ac:dyDescent="0.35">
      <c r="A10" s="236">
        <f>A8*4</f>
        <v>43.24</v>
      </c>
      <c r="B10" s="236" t="s">
        <v>647</v>
      </c>
      <c r="H10" s="248" t="s">
        <v>256</v>
      </c>
      <c r="I10" s="249">
        <v>25.1</v>
      </c>
    </row>
    <row r="11" spans="1:12" x14ac:dyDescent="0.25">
      <c r="A11" s="250">
        <f>A10/A9</f>
        <v>0.78255361505746091</v>
      </c>
      <c r="B11" s="236" t="s">
        <v>257</v>
      </c>
      <c r="H11" s="251" t="s">
        <v>258</v>
      </c>
      <c r="I11" s="252">
        <v>1538</v>
      </c>
    </row>
    <row r="12" spans="1:12" ht="15.75" thickBot="1" x14ac:dyDescent="0.3">
      <c r="H12" s="253" t="s">
        <v>259</v>
      </c>
      <c r="I12" s="254">
        <v>13800</v>
      </c>
    </row>
    <row r="13" spans="1:12" ht="18" x14ac:dyDescent="0.35">
      <c r="A13" s="260" t="s">
        <v>242</v>
      </c>
      <c r="B13" s="260" t="s">
        <v>340</v>
      </c>
      <c r="C13" s="293" t="s">
        <v>305</v>
      </c>
      <c r="D13" s="293" t="s">
        <v>306</v>
      </c>
      <c r="E13" s="293" t="s">
        <v>63</v>
      </c>
      <c r="F13" s="286" t="s">
        <v>331</v>
      </c>
      <c r="G13" s="286" t="s">
        <v>243</v>
      </c>
      <c r="H13" s="245" t="s">
        <v>252</v>
      </c>
      <c r="I13" s="255" t="s">
        <v>261</v>
      </c>
      <c r="J13" s="562" t="s">
        <v>262</v>
      </c>
      <c r="K13" s="564" t="s">
        <v>263</v>
      </c>
      <c r="L13" t="s">
        <v>669</v>
      </c>
    </row>
    <row r="14" spans="1:12" ht="17.25" x14ac:dyDescent="0.25">
      <c r="A14" s="265" t="s">
        <v>366</v>
      </c>
      <c r="B14" s="266"/>
      <c r="C14" s="257"/>
      <c r="D14" s="257"/>
      <c r="E14" s="257"/>
      <c r="F14" s="287"/>
      <c r="H14" s="248" t="s">
        <v>255</v>
      </c>
      <c r="I14" s="256">
        <v>5.5254999999999999E-2</v>
      </c>
      <c r="J14" s="563"/>
      <c r="K14" s="565"/>
    </row>
    <row r="15" spans="1:12" x14ac:dyDescent="0.25">
      <c r="A15" s="236" t="s">
        <v>395</v>
      </c>
      <c r="B15" s="332">
        <f>A4</f>
        <v>0.72</v>
      </c>
      <c r="E15" s="287" t="s">
        <v>341</v>
      </c>
      <c r="F15" s="315" t="s">
        <v>680</v>
      </c>
      <c r="H15" s="248" t="s">
        <v>256</v>
      </c>
      <c r="I15" s="256">
        <v>26.77</v>
      </c>
      <c r="J15" s="563"/>
      <c r="K15" s="565"/>
    </row>
    <row r="16" spans="1:12" x14ac:dyDescent="0.25">
      <c r="A16" s="236" t="s">
        <v>396</v>
      </c>
      <c r="B16" s="332">
        <f>A5</f>
        <v>0.27</v>
      </c>
      <c r="E16" s="287" t="s">
        <v>341</v>
      </c>
      <c r="F16" s="315" t="s">
        <v>680</v>
      </c>
      <c r="H16" s="251" t="s">
        <v>258</v>
      </c>
      <c r="I16" s="258">
        <v>5005</v>
      </c>
      <c r="J16" s="563"/>
      <c r="K16" s="565"/>
    </row>
    <row r="17" spans="1:16" ht="15.75" thickBot="1" x14ac:dyDescent="0.3">
      <c r="A17" s="236" t="s">
        <v>397</v>
      </c>
      <c r="B17" s="332">
        <f>A6</f>
        <v>0.01</v>
      </c>
      <c r="E17" s="287" t="s">
        <v>341</v>
      </c>
      <c r="F17" s="315" t="s">
        <v>680</v>
      </c>
      <c r="H17" s="253" t="s">
        <v>259</v>
      </c>
      <c r="I17" s="262">
        <f>AVERAGE(J17:K17)</f>
        <v>1690</v>
      </c>
      <c r="J17" s="263">
        <v>1350</v>
      </c>
      <c r="K17" s="264">
        <v>2030</v>
      </c>
    </row>
    <row r="18" spans="1:16" x14ac:dyDescent="0.25">
      <c r="A18" s="236" t="s">
        <v>418</v>
      </c>
      <c r="B18" s="334">
        <f>A11</f>
        <v>0.78255361505746091</v>
      </c>
      <c r="E18" s="287" t="s">
        <v>341</v>
      </c>
      <c r="F18" s="315">
        <v>5</v>
      </c>
      <c r="H18" s="267" t="s">
        <v>252</v>
      </c>
      <c r="I18" s="268" t="s">
        <v>265</v>
      </c>
    </row>
    <row r="19" spans="1:16" x14ac:dyDescent="0.25">
      <c r="A19" s="239" t="s">
        <v>266</v>
      </c>
      <c r="B19" s="269">
        <f>B54*B15</f>
        <v>0.72</v>
      </c>
      <c r="C19" s="315"/>
      <c r="D19" s="315"/>
      <c r="E19" s="289" t="s">
        <v>42</v>
      </c>
      <c r="F19" s="407" t="s">
        <v>680</v>
      </c>
      <c r="H19" s="248" t="s">
        <v>255</v>
      </c>
      <c r="I19" s="249">
        <f>144.24/1000</f>
        <v>0.14424000000000001</v>
      </c>
      <c r="J19" t="s">
        <v>664</v>
      </c>
      <c r="K19" s="271"/>
      <c r="L19" s="272"/>
    </row>
    <row r="20" spans="1:16" x14ac:dyDescent="0.25">
      <c r="A20" s="239" t="s">
        <v>268</v>
      </c>
      <c r="B20" s="273">
        <f>B54*B17/B18</f>
        <v>1.2778677150786309E-2</v>
      </c>
      <c r="C20" s="315"/>
      <c r="D20" s="315"/>
      <c r="E20" s="289" t="s">
        <v>42</v>
      </c>
      <c r="F20" s="406" t="s">
        <v>681</v>
      </c>
      <c r="H20" s="248" t="s">
        <v>256</v>
      </c>
      <c r="I20" s="249">
        <v>27.45</v>
      </c>
      <c r="K20" s="272"/>
      <c r="L20" s="272"/>
    </row>
    <row r="21" spans="1:16" ht="15.75" customHeight="1" x14ac:dyDescent="0.25">
      <c r="A21" s="239" t="s">
        <v>364</v>
      </c>
      <c r="B21" s="273">
        <f>B54*B16</f>
        <v>0.27</v>
      </c>
      <c r="C21" s="315"/>
      <c r="D21" s="315"/>
      <c r="E21" s="289" t="s">
        <v>42</v>
      </c>
      <c r="F21" s="406" t="s">
        <v>680</v>
      </c>
      <c r="H21" s="251" t="s">
        <v>258</v>
      </c>
      <c r="I21" s="252">
        <v>1024</v>
      </c>
    </row>
    <row r="22" spans="1:16" ht="15.75" customHeight="1" thickBot="1" x14ac:dyDescent="0.3">
      <c r="A22" s="239" t="s">
        <v>399</v>
      </c>
      <c r="B22" s="287">
        <f>H27</f>
        <v>25.1</v>
      </c>
      <c r="C22" s="287"/>
      <c r="D22" s="287"/>
      <c r="E22" s="330" t="s">
        <v>279</v>
      </c>
      <c r="F22" s="315">
        <v>3</v>
      </c>
      <c r="H22" s="253" t="s">
        <v>259</v>
      </c>
      <c r="I22" s="254">
        <v>7100</v>
      </c>
      <c r="J22" t="s">
        <v>672</v>
      </c>
    </row>
    <row r="23" spans="1:16" ht="15.75" customHeight="1" thickBot="1" x14ac:dyDescent="0.3">
      <c r="A23" s="239" t="s">
        <v>388</v>
      </c>
      <c r="B23" s="287">
        <f>J27</f>
        <v>26.77</v>
      </c>
      <c r="C23" s="287"/>
      <c r="D23" s="287"/>
      <c r="E23" s="330" t="s">
        <v>279</v>
      </c>
      <c r="F23" s="315">
        <v>5</v>
      </c>
    </row>
    <row r="24" spans="1:16" x14ac:dyDescent="0.25">
      <c r="A24" s="239" t="s">
        <v>400</v>
      </c>
      <c r="B24" s="287">
        <f>L27</f>
        <v>27.45</v>
      </c>
      <c r="C24" s="287"/>
      <c r="D24" s="287"/>
      <c r="E24" s="330" t="s">
        <v>279</v>
      </c>
      <c r="F24" s="315">
        <v>4</v>
      </c>
      <c r="H24" s="566" t="s">
        <v>273</v>
      </c>
      <c r="I24" s="567"/>
      <c r="J24" s="568"/>
      <c r="K24" s="568"/>
      <c r="L24" s="568"/>
      <c r="M24" s="569"/>
    </row>
    <row r="25" spans="1:16" ht="15" customHeight="1" x14ac:dyDescent="0.35">
      <c r="A25" s="239" t="s">
        <v>398</v>
      </c>
      <c r="B25" s="287">
        <f>H30</f>
        <v>1513</v>
      </c>
      <c r="C25" s="287"/>
      <c r="D25" s="287"/>
      <c r="E25" s="330" t="s">
        <v>282</v>
      </c>
      <c r="F25" s="315">
        <v>3</v>
      </c>
      <c r="H25" s="570" t="s">
        <v>275</v>
      </c>
      <c r="I25" s="571"/>
      <c r="J25" s="570" t="s">
        <v>276</v>
      </c>
      <c r="K25" s="571"/>
      <c r="L25" s="570" t="s">
        <v>277</v>
      </c>
      <c r="M25" s="571"/>
      <c r="N25" s="272"/>
    </row>
    <row r="26" spans="1:16" ht="15" customHeight="1" x14ac:dyDescent="0.25">
      <c r="A26" s="239" t="s">
        <v>387</v>
      </c>
      <c r="B26" s="287">
        <f>J30</f>
        <v>4980</v>
      </c>
      <c r="C26" s="287"/>
      <c r="D26" s="287"/>
      <c r="E26" s="330" t="s">
        <v>282</v>
      </c>
      <c r="F26" s="315">
        <v>5</v>
      </c>
      <c r="H26" s="275">
        <f>B19/I9</f>
        <v>12.892828364222401</v>
      </c>
      <c r="I26" s="276" t="s">
        <v>278</v>
      </c>
      <c r="J26" s="277">
        <f>B20/I14</f>
        <v>0.23126734505087881</v>
      </c>
      <c r="K26" s="276" t="s">
        <v>278</v>
      </c>
      <c r="L26" s="277">
        <f>B21/I19</f>
        <v>1.8718801996672214</v>
      </c>
      <c r="M26" s="276" t="s">
        <v>278</v>
      </c>
    </row>
    <row r="27" spans="1:16" x14ac:dyDescent="0.25">
      <c r="A27" s="239" t="s">
        <v>389</v>
      </c>
      <c r="B27" s="287">
        <f>L30</f>
        <v>999</v>
      </c>
      <c r="C27" s="287"/>
      <c r="D27" s="287"/>
      <c r="E27" s="330" t="s">
        <v>282</v>
      </c>
      <c r="F27" s="315">
        <v>4</v>
      </c>
      <c r="H27" s="278">
        <f>I10</f>
        <v>25.1</v>
      </c>
      <c r="I27" s="276" t="s">
        <v>279</v>
      </c>
      <c r="J27" s="278">
        <f>I15</f>
        <v>26.77</v>
      </c>
      <c r="K27" s="276" t="s">
        <v>279</v>
      </c>
      <c r="L27" s="278">
        <f>I20</f>
        <v>27.45</v>
      </c>
      <c r="M27" s="276" t="s">
        <v>279</v>
      </c>
    </row>
    <row r="28" spans="1:16" ht="18" x14ac:dyDescent="0.35">
      <c r="A28" s="239" t="s">
        <v>401</v>
      </c>
      <c r="B28" s="287">
        <f>I9</f>
        <v>5.5844999999999999E-2</v>
      </c>
      <c r="C28" s="287"/>
      <c r="D28" s="287"/>
      <c r="E28" s="330" t="s">
        <v>392</v>
      </c>
      <c r="F28" s="315">
        <v>3</v>
      </c>
      <c r="H28" s="278">
        <v>25</v>
      </c>
      <c r="I28" s="276" t="s">
        <v>280</v>
      </c>
      <c r="J28" s="278">
        <v>25</v>
      </c>
      <c r="K28" s="276" t="s">
        <v>280</v>
      </c>
      <c r="L28" s="278">
        <v>25</v>
      </c>
      <c r="M28" s="276" t="s">
        <v>280</v>
      </c>
    </row>
    <row r="29" spans="1:16" ht="18" x14ac:dyDescent="0.35">
      <c r="A29" s="239" t="s">
        <v>390</v>
      </c>
      <c r="B29" s="315">
        <f>I14</f>
        <v>5.5254999999999999E-2</v>
      </c>
      <c r="C29" s="315"/>
      <c r="D29" s="315"/>
      <c r="E29" s="315" t="s">
        <v>392</v>
      </c>
      <c r="F29" s="315">
        <v>5</v>
      </c>
      <c r="H29" s="278">
        <f>I11</f>
        <v>1538</v>
      </c>
      <c r="I29" s="276" t="s">
        <v>281</v>
      </c>
      <c r="J29" s="278">
        <f>I16</f>
        <v>5005</v>
      </c>
      <c r="K29" s="276" t="s">
        <v>281</v>
      </c>
      <c r="L29" s="278">
        <f>I21</f>
        <v>1024</v>
      </c>
      <c r="M29" s="276" t="s">
        <v>281</v>
      </c>
      <c r="O29" s="272"/>
      <c r="P29" s="272"/>
    </row>
    <row r="30" spans="1:16" x14ac:dyDescent="0.25">
      <c r="A30" s="239" t="s">
        <v>391</v>
      </c>
      <c r="B30" s="287">
        <f>I19</f>
        <v>0.14424000000000001</v>
      </c>
      <c r="C30" s="287"/>
      <c r="D30" s="287"/>
      <c r="E30" s="287" t="s">
        <v>392</v>
      </c>
      <c r="F30" s="315">
        <v>4</v>
      </c>
      <c r="H30" s="278">
        <f>H29-H28</f>
        <v>1513</v>
      </c>
      <c r="I30" s="276" t="s">
        <v>282</v>
      </c>
      <c r="J30" s="278">
        <f>J29-J28</f>
        <v>4980</v>
      </c>
      <c r="K30" s="276" t="s">
        <v>282</v>
      </c>
      <c r="L30" s="278">
        <f>L29-L28</f>
        <v>999</v>
      </c>
      <c r="M30" s="276" t="s">
        <v>282</v>
      </c>
      <c r="O30" s="272"/>
      <c r="P30" s="272"/>
    </row>
    <row r="31" spans="1:16" ht="18" x14ac:dyDescent="0.35">
      <c r="A31" s="239" t="s">
        <v>402</v>
      </c>
      <c r="B31" s="331">
        <f>B19/B28</f>
        <v>12.892828364222401</v>
      </c>
      <c r="C31" s="287"/>
      <c r="D31" s="287"/>
      <c r="E31" s="266" t="s">
        <v>278</v>
      </c>
      <c r="F31" s="315" t="s">
        <v>682</v>
      </c>
      <c r="H31" s="275">
        <f>H26*H27*H30</f>
        <v>489621.91780821921</v>
      </c>
      <c r="I31" s="276" t="s">
        <v>283</v>
      </c>
      <c r="J31" s="275">
        <f>J26*J27*J30</f>
        <v>30831.31359851989</v>
      </c>
      <c r="K31" s="276" t="s">
        <v>283</v>
      </c>
      <c r="L31" s="275">
        <f>L26*L27*L30</f>
        <v>51331.728369384356</v>
      </c>
      <c r="M31" s="276" t="s">
        <v>283</v>
      </c>
      <c r="O31" s="271"/>
      <c r="P31" s="272"/>
    </row>
    <row r="32" spans="1:16" x14ac:dyDescent="0.25">
      <c r="A32" s="239" t="s">
        <v>393</v>
      </c>
      <c r="B32" s="331">
        <f>B20/B29</f>
        <v>0.23126734505087881</v>
      </c>
      <c r="C32" s="287"/>
      <c r="D32" s="287"/>
      <c r="E32" s="266" t="s">
        <v>278</v>
      </c>
      <c r="F32" s="287" t="s">
        <v>681</v>
      </c>
      <c r="H32" s="275">
        <f>I12*H26</f>
        <v>177921.03142626912</v>
      </c>
      <c r="I32" s="279" t="s">
        <v>284</v>
      </c>
      <c r="J32" s="275">
        <f>I17*J26</f>
        <v>390.84181313598521</v>
      </c>
      <c r="K32" s="279" t="s">
        <v>284</v>
      </c>
      <c r="L32" s="277">
        <f>I22*L26</f>
        <v>13290.349417637271</v>
      </c>
      <c r="M32" s="279" t="s">
        <v>284</v>
      </c>
    </row>
    <row r="33" spans="1:13" ht="15.75" thickBot="1" x14ac:dyDescent="0.3">
      <c r="A33" s="239" t="s">
        <v>394</v>
      </c>
      <c r="B33" s="331">
        <f>B21/B30</f>
        <v>1.8718801996672214</v>
      </c>
      <c r="C33" s="287"/>
      <c r="D33" s="287"/>
      <c r="E33" s="266" t="s">
        <v>278</v>
      </c>
      <c r="F33" s="287" t="s">
        <v>683</v>
      </c>
      <c r="H33" s="280">
        <f>SUM(H31:H32)</f>
        <v>667542.9492344883</v>
      </c>
      <c r="I33" s="281" t="s">
        <v>285</v>
      </c>
      <c r="J33" s="280">
        <f>SUM(J31:J32)</f>
        <v>31222.155411655876</v>
      </c>
      <c r="K33" s="281" t="s">
        <v>285</v>
      </c>
      <c r="L33" s="280">
        <f>SUM(L31:L32)</f>
        <v>64622.077787021626</v>
      </c>
      <c r="M33" s="281" t="s">
        <v>285</v>
      </c>
    </row>
    <row r="34" spans="1:13" x14ac:dyDescent="0.25">
      <c r="A34" s="239" t="s">
        <v>403</v>
      </c>
      <c r="B34" s="287">
        <f>I12</f>
        <v>13800</v>
      </c>
      <c r="C34" s="287"/>
      <c r="D34" s="287"/>
      <c r="E34" s="266" t="s">
        <v>406</v>
      </c>
      <c r="F34" s="287">
        <v>3</v>
      </c>
    </row>
    <row r="35" spans="1:13" x14ac:dyDescent="0.25">
      <c r="A35" s="239" t="s">
        <v>404</v>
      </c>
      <c r="B35" s="287">
        <f>I17</f>
        <v>1690</v>
      </c>
      <c r="C35" s="287"/>
      <c r="D35" s="287"/>
      <c r="E35" s="266" t="s">
        <v>406</v>
      </c>
      <c r="F35" s="287">
        <v>5</v>
      </c>
      <c r="I35" s="241" t="s">
        <v>286</v>
      </c>
      <c r="J35" s="261"/>
      <c r="K35" s="241" t="s">
        <v>287</v>
      </c>
    </row>
    <row r="36" spans="1:13" x14ac:dyDescent="0.25">
      <c r="A36" s="239" t="s">
        <v>405</v>
      </c>
      <c r="B36" s="287">
        <f>I22</f>
        <v>7100</v>
      </c>
      <c r="C36" s="287"/>
      <c r="D36" s="287"/>
      <c r="E36" s="266" t="s">
        <v>406</v>
      </c>
      <c r="F36" s="287">
        <v>6</v>
      </c>
      <c r="I36" s="282">
        <f>H33*A4+J33*A6+L33*A5</f>
        <v>498391.10600544396</v>
      </c>
      <c r="J36" s="236" t="s">
        <v>288</v>
      </c>
      <c r="K36" s="283">
        <f>H32*A4+J32*A6+L32*A5</f>
        <v>131695.44538780718</v>
      </c>
      <c r="L36" s="236" t="s">
        <v>288</v>
      </c>
    </row>
    <row r="37" spans="1:13" x14ac:dyDescent="0.25">
      <c r="A37" s="239" t="s">
        <v>407</v>
      </c>
      <c r="B37" s="331">
        <f>B31*B34</f>
        <v>177921.03142626912</v>
      </c>
      <c r="E37" s="266" t="s">
        <v>288</v>
      </c>
      <c r="F37" s="287" t="s">
        <v>682</v>
      </c>
      <c r="H37" s="284"/>
      <c r="I37" s="284">
        <f>CONVERT(I36,"J", "MJ")</f>
        <v>0.49839110600544395</v>
      </c>
      <c r="J37" s="236" t="s">
        <v>270</v>
      </c>
    </row>
    <row r="38" spans="1:13" x14ac:dyDescent="0.25">
      <c r="A38" s="239" t="s">
        <v>408</v>
      </c>
      <c r="B38" s="331">
        <f>B32*B35</f>
        <v>390.84181313598521</v>
      </c>
      <c r="E38" s="266" t="s">
        <v>288</v>
      </c>
      <c r="F38" s="287" t="s">
        <v>681</v>
      </c>
    </row>
    <row r="39" spans="1:13" x14ac:dyDescent="0.25">
      <c r="A39" s="239" t="s">
        <v>409</v>
      </c>
      <c r="B39" s="331">
        <f>B33*B36</f>
        <v>13290.349417637271</v>
      </c>
      <c r="E39" s="266" t="s">
        <v>288</v>
      </c>
      <c r="F39" s="287" t="s">
        <v>684</v>
      </c>
      <c r="H39" s="285" t="s">
        <v>386</v>
      </c>
    </row>
    <row r="40" spans="1:13" x14ac:dyDescent="0.25">
      <c r="A40" s="239" t="s">
        <v>410</v>
      </c>
      <c r="B40" s="331">
        <f>B22*B25*B31</f>
        <v>489621.91780821921</v>
      </c>
      <c r="E40" s="266" t="s">
        <v>288</v>
      </c>
      <c r="F40" s="287" t="s">
        <v>682</v>
      </c>
    </row>
    <row r="41" spans="1:13" x14ac:dyDescent="0.25">
      <c r="A41" s="239" t="s">
        <v>411</v>
      </c>
      <c r="B41" s="331">
        <f>B23*B26*B32</f>
        <v>30831.31359851989</v>
      </c>
      <c r="E41" s="266" t="s">
        <v>288</v>
      </c>
      <c r="F41" s="287" t="s">
        <v>681</v>
      </c>
      <c r="H41" s="261" t="s">
        <v>289</v>
      </c>
    </row>
    <row r="42" spans="1:13" x14ac:dyDescent="0.25">
      <c r="A42" s="239" t="s">
        <v>412</v>
      </c>
      <c r="B42" s="331">
        <f>B24*B27*B33</f>
        <v>51331.728369384364</v>
      </c>
      <c r="E42" s="266" t="s">
        <v>288</v>
      </c>
      <c r="F42" s="287" t="s">
        <v>683</v>
      </c>
      <c r="H42" s="286" t="s">
        <v>290</v>
      </c>
      <c r="I42" s="286" t="s">
        <v>262</v>
      </c>
      <c r="J42" s="286" t="s">
        <v>263</v>
      </c>
      <c r="K42" s="286" t="s">
        <v>291</v>
      </c>
      <c r="L42" s="287" t="s">
        <v>678</v>
      </c>
    </row>
    <row r="43" spans="1:13" x14ac:dyDescent="0.25">
      <c r="A43" s="239" t="s">
        <v>413</v>
      </c>
      <c r="B43" s="331">
        <f>SUM(B37,B40)</f>
        <v>667542.9492344883</v>
      </c>
      <c r="E43" s="266" t="s">
        <v>288</v>
      </c>
      <c r="F43" s="287" t="s">
        <v>682</v>
      </c>
      <c r="H43" s="236">
        <v>4.1870000000000003</v>
      </c>
      <c r="I43" s="287"/>
      <c r="J43" s="287"/>
      <c r="K43" s="236" t="s">
        <v>292</v>
      </c>
    </row>
    <row r="44" spans="1:13" x14ac:dyDescent="0.25">
      <c r="A44" s="239" t="s">
        <v>414</v>
      </c>
      <c r="B44" s="331">
        <f>SUM(B38,B41)</f>
        <v>31222.155411655876</v>
      </c>
      <c r="E44" s="266" t="s">
        <v>288</v>
      </c>
      <c r="F44" s="287" t="s">
        <v>681</v>
      </c>
      <c r="H44" s="236">
        <f>H43*1000</f>
        <v>4187</v>
      </c>
      <c r="I44" s="287"/>
      <c r="J44" s="287"/>
      <c r="K44" s="236" t="s">
        <v>293</v>
      </c>
    </row>
    <row r="45" spans="1:13" x14ac:dyDescent="0.25">
      <c r="A45" s="239" t="s">
        <v>415</v>
      </c>
      <c r="B45" s="331">
        <f>SUM(B39,B42)</f>
        <v>64622.077787021633</v>
      </c>
      <c r="E45" s="266" t="s">
        <v>288</v>
      </c>
      <c r="F45" s="287" t="s">
        <v>684</v>
      </c>
      <c r="H45" s="236">
        <v>10</v>
      </c>
      <c r="I45" s="287">
        <v>5</v>
      </c>
      <c r="J45" s="287">
        <v>20</v>
      </c>
      <c r="K45" s="288" t="s">
        <v>294</v>
      </c>
    </row>
    <row r="46" spans="1:13" x14ac:dyDescent="0.25">
      <c r="A46" s="239" t="s">
        <v>416</v>
      </c>
      <c r="B46" s="331">
        <f>B43*B15+B44*B16+B45*B17</f>
        <v>489707.12618784886</v>
      </c>
      <c r="E46" s="266" t="s">
        <v>288</v>
      </c>
      <c r="F46" s="287" t="s">
        <v>685</v>
      </c>
      <c r="H46" s="284">
        <f>K36</f>
        <v>131695.44538780718</v>
      </c>
      <c r="I46" s="287"/>
      <c r="J46" s="287"/>
      <c r="K46" s="288" t="s">
        <v>295</v>
      </c>
    </row>
    <row r="47" spans="1:13" x14ac:dyDescent="0.25">
      <c r="A47" s="239" t="s">
        <v>417</v>
      </c>
      <c r="B47" s="331">
        <f>B37*B15+B38*B16+B39*B17</f>
        <v>128341.57341063685</v>
      </c>
      <c r="E47" s="266" t="s">
        <v>288</v>
      </c>
      <c r="F47" s="287" t="s">
        <v>685</v>
      </c>
      <c r="I47" s="287"/>
      <c r="J47" s="287"/>
    </row>
    <row r="48" spans="1:13" x14ac:dyDescent="0.25">
      <c r="A48" s="239" t="s">
        <v>269</v>
      </c>
      <c r="B48" s="273">
        <f>CONVERT(B46,"J","MJ")</f>
        <v>0.48970712618784878</v>
      </c>
      <c r="C48" s="257"/>
      <c r="D48" s="257"/>
      <c r="E48" s="289" t="s">
        <v>270</v>
      </c>
      <c r="F48" s="287" t="s">
        <v>685</v>
      </c>
      <c r="H48" s="261" t="s">
        <v>296</v>
      </c>
    </row>
    <row r="49" spans="1:9" x14ac:dyDescent="0.25">
      <c r="A49" s="239" t="s">
        <v>384</v>
      </c>
      <c r="B49" s="315">
        <f>H44</f>
        <v>4187</v>
      </c>
      <c r="C49" s="315"/>
      <c r="D49" s="315"/>
      <c r="E49" s="315" t="s">
        <v>370</v>
      </c>
      <c r="F49" s="287">
        <v>7</v>
      </c>
      <c r="H49" s="236">
        <f>H46/(H44*H45)</f>
        <v>3.14534142316234</v>
      </c>
      <c r="I49" s="236" t="s">
        <v>297</v>
      </c>
    </row>
    <row r="50" spans="1:9" x14ac:dyDescent="0.25">
      <c r="A50" s="239" t="s">
        <v>385</v>
      </c>
      <c r="B50" s="315">
        <f>H45</f>
        <v>10</v>
      </c>
      <c r="C50" s="315">
        <f>I45</f>
        <v>5</v>
      </c>
      <c r="D50" s="315">
        <f>J45</f>
        <v>20</v>
      </c>
      <c r="E50" s="333" t="s">
        <v>282</v>
      </c>
      <c r="F50" s="287"/>
      <c r="G50" s="287" t="s">
        <v>679</v>
      </c>
    </row>
    <row r="51" spans="1:9" x14ac:dyDescent="0.25">
      <c r="A51" s="239" t="s">
        <v>371</v>
      </c>
      <c r="B51" s="318">
        <f>H46</f>
        <v>131695.44538780718</v>
      </c>
      <c r="C51" s="257"/>
      <c r="D51" s="257"/>
      <c r="E51" s="289" t="s">
        <v>288</v>
      </c>
      <c r="F51" s="287">
        <v>7</v>
      </c>
    </row>
    <row r="52" spans="1:9" x14ac:dyDescent="0.25">
      <c r="A52" s="239" t="s">
        <v>272</v>
      </c>
      <c r="B52" s="273">
        <f>B47/(B49*B50)</f>
        <v>3.065239393614446</v>
      </c>
      <c r="C52" s="257"/>
      <c r="D52" s="257"/>
      <c r="E52" s="289" t="s">
        <v>42</v>
      </c>
      <c r="F52" s="287" t="s">
        <v>686</v>
      </c>
      <c r="H52" s="284"/>
    </row>
    <row r="53" spans="1:9" ht="36" x14ac:dyDescent="0.25">
      <c r="A53" s="265" t="s">
        <v>365</v>
      </c>
      <c r="B53" s="266"/>
      <c r="C53" s="257"/>
      <c r="D53" s="257"/>
      <c r="E53" s="239"/>
    </row>
    <row r="54" spans="1:9" x14ac:dyDescent="0.25">
      <c r="A54" s="239" t="s">
        <v>274</v>
      </c>
      <c r="B54" s="316">
        <v>1</v>
      </c>
      <c r="C54" s="257"/>
      <c r="D54" s="257"/>
      <c r="E54" s="317" t="s">
        <v>42</v>
      </c>
      <c r="F54" s="287" t="s">
        <v>680</v>
      </c>
    </row>
    <row r="55" spans="1:9" ht="15.75" thickBot="1" x14ac:dyDescent="0.3"/>
    <row r="56" spans="1:9" ht="15.75" x14ac:dyDescent="0.25">
      <c r="A56" s="335" t="s">
        <v>419</v>
      </c>
      <c r="B56" s="359"/>
      <c r="C56" s="359"/>
      <c r="D56" s="359"/>
      <c r="E56" s="359"/>
      <c r="F56" s="359"/>
      <c r="G56" s="360"/>
    </row>
    <row r="57" spans="1:9" x14ac:dyDescent="0.25">
      <c r="A57" s="350" t="s">
        <v>242</v>
      </c>
      <c r="B57" s="339" t="s">
        <v>340</v>
      </c>
      <c r="C57" s="361" t="s">
        <v>305</v>
      </c>
      <c r="D57" s="361" t="s">
        <v>306</v>
      </c>
      <c r="E57" s="361" t="s">
        <v>63</v>
      </c>
      <c r="F57" s="361" t="s">
        <v>331</v>
      </c>
      <c r="G57" s="340" t="s">
        <v>22</v>
      </c>
    </row>
    <row r="58" spans="1:9" ht="17.25" x14ac:dyDescent="0.25">
      <c r="A58" s="341" t="s">
        <v>366</v>
      </c>
      <c r="B58" s="342"/>
      <c r="C58" s="355"/>
      <c r="D58" s="355"/>
      <c r="E58" s="355"/>
      <c r="F58" s="355"/>
      <c r="G58" s="362"/>
    </row>
    <row r="59" spans="1:9" x14ac:dyDescent="0.25">
      <c r="A59" s="345" t="s">
        <v>569</v>
      </c>
      <c r="B59" s="363">
        <f>B15</f>
        <v>0.72</v>
      </c>
      <c r="C59" s="355"/>
      <c r="D59" s="355"/>
      <c r="E59" s="411" t="s">
        <v>638</v>
      </c>
      <c r="F59" s="342" t="s">
        <v>680</v>
      </c>
      <c r="G59" s="362"/>
    </row>
    <row r="60" spans="1:9" x14ac:dyDescent="0.25">
      <c r="A60" s="345" t="s">
        <v>570</v>
      </c>
      <c r="B60" s="363">
        <f t="shared" ref="B60:B62" si="0">B16</f>
        <v>0.27</v>
      </c>
      <c r="C60" s="355"/>
      <c r="D60" s="355"/>
      <c r="E60" s="411" t="s">
        <v>639</v>
      </c>
      <c r="F60" s="342" t="s">
        <v>680</v>
      </c>
      <c r="G60" s="362"/>
    </row>
    <row r="61" spans="1:9" x14ac:dyDescent="0.25">
      <c r="A61" s="345" t="s">
        <v>571</v>
      </c>
      <c r="B61" s="363">
        <f t="shared" si="0"/>
        <v>0.01</v>
      </c>
      <c r="C61" s="355"/>
      <c r="D61" s="355"/>
      <c r="E61" s="411" t="s">
        <v>640</v>
      </c>
      <c r="F61" s="342" t="s">
        <v>680</v>
      </c>
      <c r="G61" s="362"/>
    </row>
    <row r="62" spans="1:9" x14ac:dyDescent="0.25">
      <c r="A62" s="345" t="s">
        <v>572</v>
      </c>
      <c r="B62" s="363">
        <f t="shared" si="0"/>
        <v>0.78255361505746091</v>
      </c>
      <c r="C62" s="355"/>
      <c r="D62" s="355"/>
      <c r="E62" s="411" t="s">
        <v>641</v>
      </c>
      <c r="F62" s="342">
        <v>5</v>
      </c>
      <c r="G62" s="362"/>
    </row>
    <row r="63" spans="1:9" x14ac:dyDescent="0.25">
      <c r="A63" s="426" t="s">
        <v>248</v>
      </c>
      <c r="B63" s="269">
        <f>B59*B97</f>
        <v>1.4693877551020409</v>
      </c>
      <c r="C63" s="266"/>
      <c r="D63" s="266"/>
      <c r="E63" s="289" t="s">
        <v>42</v>
      </c>
      <c r="F63" s="427" t="s">
        <v>680</v>
      </c>
      <c r="G63" s="279"/>
    </row>
    <row r="64" spans="1:9" x14ac:dyDescent="0.25">
      <c r="A64" s="426" t="s">
        <v>421</v>
      </c>
      <c r="B64" s="269">
        <f>B61*B97/B62</f>
        <v>2.6078932960788385E-2</v>
      </c>
      <c r="C64" s="266"/>
      <c r="D64" s="266"/>
      <c r="E64" s="289" t="s">
        <v>42</v>
      </c>
      <c r="F64" s="428" t="s">
        <v>681</v>
      </c>
      <c r="G64" s="279"/>
    </row>
    <row r="65" spans="1:7" x14ac:dyDescent="0.25">
      <c r="A65" s="426" t="s">
        <v>249</v>
      </c>
      <c r="B65" s="269">
        <f>B60*B97</f>
        <v>0.55102040816326536</v>
      </c>
      <c r="C65" s="266"/>
      <c r="D65" s="266"/>
      <c r="E65" s="289" t="s">
        <v>42</v>
      </c>
      <c r="F65" s="428" t="s">
        <v>680</v>
      </c>
      <c r="G65" s="279"/>
    </row>
    <row r="66" spans="1:7" x14ac:dyDescent="0.25">
      <c r="A66" s="345" t="s">
        <v>399</v>
      </c>
      <c r="B66" s="346">
        <f>B22</f>
        <v>25.1</v>
      </c>
      <c r="C66" s="342"/>
      <c r="D66" s="342"/>
      <c r="E66" s="342" t="s">
        <v>279</v>
      </c>
      <c r="F66" s="342">
        <v>3</v>
      </c>
      <c r="G66" s="362"/>
    </row>
    <row r="67" spans="1:7" x14ac:dyDescent="0.25">
      <c r="A67" s="345" t="s">
        <v>388</v>
      </c>
      <c r="B67" s="346">
        <f t="shared" ref="B67:B94" si="1">B23</f>
        <v>26.77</v>
      </c>
      <c r="C67" s="342"/>
      <c r="D67" s="342"/>
      <c r="E67" s="342" t="s">
        <v>279</v>
      </c>
      <c r="F67" s="342">
        <v>5</v>
      </c>
      <c r="G67" s="362"/>
    </row>
    <row r="68" spans="1:7" x14ac:dyDescent="0.25">
      <c r="A68" s="345" t="s">
        <v>400</v>
      </c>
      <c r="B68" s="346">
        <f t="shared" si="1"/>
        <v>27.45</v>
      </c>
      <c r="C68" s="342"/>
      <c r="D68" s="342"/>
      <c r="E68" s="342" t="s">
        <v>279</v>
      </c>
      <c r="F68" s="342">
        <v>4</v>
      </c>
      <c r="G68" s="362"/>
    </row>
    <row r="69" spans="1:7" x14ac:dyDescent="0.25">
      <c r="A69" s="345" t="s">
        <v>398</v>
      </c>
      <c r="B69" s="346">
        <f t="shared" si="1"/>
        <v>1513</v>
      </c>
      <c r="C69" s="342"/>
      <c r="D69" s="342"/>
      <c r="E69" s="342" t="s">
        <v>934</v>
      </c>
      <c r="F69" s="342">
        <v>3</v>
      </c>
      <c r="G69" s="362"/>
    </row>
    <row r="70" spans="1:7" x14ac:dyDescent="0.25">
      <c r="A70" s="345" t="s">
        <v>387</v>
      </c>
      <c r="B70" s="346">
        <f t="shared" si="1"/>
        <v>4980</v>
      </c>
      <c r="C70" s="342"/>
      <c r="D70" s="342"/>
      <c r="E70" s="342" t="s">
        <v>934</v>
      </c>
      <c r="F70" s="342">
        <v>5</v>
      </c>
      <c r="G70" s="362"/>
    </row>
    <row r="71" spans="1:7" x14ac:dyDescent="0.25">
      <c r="A71" s="345" t="s">
        <v>389</v>
      </c>
      <c r="B71" s="346">
        <f t="shared" si="1"/>
        <v>999</v>
      </c>
      <c r="C71" s="342"/>
      <c r="D71" s="342"/>
      <c r="E71" s="342" t="s">
        <v>934</v>
      </c>
      <c r="F71" s="342">
        <v>4</v>
      </c>
      <c r="G71" s="362"/>
    </row>
    <row r="72" spans="1:7" x14ac:dyDescent="0.25">
      <c r="A72" s="345" t="s">
        <v>401</v>
      </c>
      <c r="B72" s="346">
        <f t="shared" si="1"/>
        <v>5.5844999999999999E-2</v>
      </c>
      <c r="C72" s="342"/>
      <c r="D72" s="342"/>
      <c r="E72" s="342" t="s">
        <v>392</v>
      </c>
      <c r="F72" s="342">
        <v>3</v>
      </c>
      <c r="G72" s="362"/>
    </row>
    <row r="73" spans="1:7" x14ac:dyDescent="0.25">
      <c r="A73" s="345" t="s">
        <v>390</v>
      </c>
      <c r="B73" s="346">
        <f t="shared" si="1"/>
        <v>5.5254999999999999E-2</v>
      </c>
      <c r="C73" s="342"/>
      <c r="D73" s="342"/>
      <c r="E73" s="342" t="s">
        <v>392</v>
      </c>
      <c r="F73" s="342">
        <v>5</v>
      </c>
      <c r="G73" s="362"/>
    </row>
    <row r="74" spans="1:7" x14ac:dyDescent="0.25">
      <c r="A74" s="345" t="s">
        <v>391</v>
      </c>
      <c r="B74" s="346">
        <f t="shared" si="1"/>
        <v>0.14424000000000001</v>
      </c>
      <c r="C74" s="342"/>
      <c r="D74" s="342"/>
      <c r="E74" s="342" t="s">
        <v>392</v>
      </c>
      <c r="F74" s="342">
        <v>4</v>
      </c>
      <c r="G74" s="362"/>
    </row>
    <row r="75" spans="1:7" x14ac:dyDescent="0.25">
      <c r="A75" s="426" t="s">
        <v>402</v>
      </c>
      <c r="B75" s="269">
        <f>B63/B72</f>
        <v>26.311894620862045</v>
      </c>
      <c r="C75" s="266"/>
      <c r="D75" s="266"/>
      <c r="E75" s="266" t="s">
        <v>278</v>
      </c>
      <c r="F75" s="266" t="s">
        <v>682</v>
      </c>
      <c r="G75" s="279"/>
    </row>
    <row r="76" spans="1:7" x14ac:dyDescent="0.25">
      <c r="A76" s="426" t="s">
        <v>393</v>
      </c>
      <c r="B76" s="269">
        <f>B64/B73</f>
        <v>0.47197417357322208</v>
      </c>
      <c r="C76" s="266"/>
      <c r="D76" s="266"/>
      <c r="E76" s="266" t="s">
        <v>278</v>
      </c>
      <c r="F76" s="266" t="s">
        <v>681</v>
      </c>
      <c r="G76" s="279"/>
    </row>
    <row r="77" spans="1:7" x14ac:dyDescent="0.25">
      <c r="A77" s="426" t="s">
        <v>394</v>
      </c>
      <c r="B77" s="269">
        <f>B65/B74</f>
        <v>3.8201636727902479</v>
      </c>
      <c r="C77" s="266"/>
      <c r="D77" s="266"/>
      <c r="E77" s="266" t="s">
        <v>278</v>
      </c>
      <c r="F77" s="266" t="s">
        <v>683</v>
      </c>
      <c r="G77" s="279"/>
    </row>
    <row r="78" spans="1:7" x14ac:dyDescent="0.25">
      <c r="A78" s="345" t="s">
        <v>403</v>
      </c>
      <c r="B78" s="346">
        <f t="shared" si="1"/>
        <v>13800</v>
      </c>
      <c r="C78" s="342"/>
      <c r="D78" s="342"/>
      <c r="E78" s="342" t="s">
        <v>406</v>
      </c>
      <c r="F78" s="342">
        <v>3</v>
      </c>
      <c r="G78" s="362"/>
    </row>
    <row r="79" spans="1:7" x14ac:dyDescent="0.25">
      <c r="A79" s="345" t="s">
        <v>404</v>
      </c>
      <c r="B79" s="346">
        <f t="shared" si="1"/>
        <v>1690</v>
      </c>
      <c r="C79" s="342"/>
      <c r="D79" s="342"/>
      <c r="E79" s="342" t="s">
        <v>406</v>
      </c>
      <c r="F79" s="342">
        <v>5</v>
      </c>
      <c r="G79" s="362"/>
    </row>
    <row r="80" spans="1:7" x14ac:dyDescent="0.25">
      <c r="A80" s="345" t="s">
        <v>405</v>
      </c>
      <c r="B80" s="346">
        <f t="shared" si="1"/>
        <v>7100</v>
      </c>
      <c r="C80" s="342"/>
      <c r="D80" s="342"/>
      <c r="E80" s="342" t="s">
        <v>406</v>
      </c>
      <c r="F80" s="342">
        <v>6</v>
      </c>
      <c r="G80" s="362"/>
    </row>
    <row r="81" spans="1:7" x14ac:dyDescent="0.25">
      <c r="A81" s="426" t="s">
        <v>407</v>
      </c>
      <c r="B81" s="269">
        <f>B75*B78</f>
        <v>363104.1457678962</v>
      </c>
      <c r="C81" s="239"/>
      <c r="D81" s="239"/>
      <c r="E81" s="266" t="s">
        <v>288</v>
      </c>
      <c r="F81" s="266" t="s">
        <v>682</v>
      </c>
      <c r="G81" s="279"/>
    </row>
    <row r="82" spans="1:7" x14ac:dyDescent="0.25">
      <c r="A82" s="426" t="s">
        <v>408</v>
      </c>
      <c r="B82" s="269">
        <f t="shared" ref="B82:B83" si="2">B76*B79</f>
        <v>797.63635333874527</v>
      </c>
      <c r="C82" s="239"/>
      <c r="D82" s="239"/>
      <c r="E82" s="266" t="s">
        <v>288</v>
      </c>
      <c r="F82" s="266" t="s">
        <v>681</v>
      </c>
      <c r="G82" s="279"/>
    </row>
    <row r="83" spans="1:7" x14ac:dyDescent="0.25">
      <c r="A83" s="426" t="s">
        <v>409</v>
      </c>
      <c r="B83" s="269">
        <f t="shared" si="2"/>
        <v>27123.16207681076</v>
      </c>
      <c r="C83" s="239"/>
      <c r="D83" s="239"/>
      <c r="E83" s="266" t="s">
        <v>288</v>
      </c>
      <c r="F83" s="266" t="s">
        <v>684</v>
      </c>
      <c r="G83" s="279"/>
    </row>
    <row r="84" spans="1:7" x14ac:dyDescent="0.25">
      <c r="A84" s="426" t="s">
        <v>410</v>
      </c>
      <c r="B84" s="269">
        <f>B69*B75*B66</f>
        <v>999228.40369024326</v>
      </c>
      <c r="C84" s="239"/>
      <c r="D84" s="239"/>
      <c r="E84" s="266" t="s">
        <v>288</v>
      </c>
      <c r="F84" s="266" t="s">
        <v>682</v>
      </c>
      <c r="G84" s="279"/>
    </row>
    <row r="85" spans="1:7" x14ac:dyDescent="0.25">
      <c r="A85" s="426" t="s">
        <v>411</v>
      </c>
      <c r="B85" s="269">
        <f t="shared" ref="B85:B86" si="3">B70*B76*B67</f>
        <v>62921.048160244674</v>
      </c>
      <c r="C85" s="239"/>
      <c r="D85" s="239"/>
      <c r="E85" s="266" t="s">
        <v>288</v>
      </c>
      <c r="F85" s="266" t="s">
        <v>681</v>
      </c>
      <c r="G85" s="279"/>
    </row>
    <row r="86" spans="1:7" x14ac:dyDescent="0.25">
      <c r="A86" s="426" t="s">
        <v>412</v>
      </c>
      <c r="B86" s="269">
        <f t="shared" si="3"/>
        <v>104758.62932527422</v>
      </c>
      <c r="C86" s="239"/>
      <c r="D86" s="239"/>
      <c r="E86" s="266" t="s">
        <v>288</v>
      </c>
      <c r="F86" s="266" t="s">
        <v>683</v>
      </c>
      <c r="G86" s="279"/>
    </row>
    <row r="87" spans="1:7" x14ac:dyDescent="0.25">
      <c r="A87" s="426" t="s">
        <v>413</v>
      </c>
      <c r="B87" s="269">
        <f>SUM(B81,B84)</f>
        <v>1362332.5494581396</v>
      </c>
      <c r="C87" s="239"/>
      <c r="D87" s="239"/>
      <c r="E87" s="266" t="s">
        <v>288</v>
      </c>
      <c r="F87" s="266" t="s">
        <v>682</v>
      </c>
      <c r="G87" s="279"/>
    </row>
    <row r="88" spans="1:7" x14ac:dyDescent="0.25">
      <c r="A88" s="426" t="s">
        <v>414</v>
      </c>
      <c r="B88" s="269">
        <f>SUM(B82,B85)</f>
        <v>63718.684513583423</v>
      </c>
      <c r="C88" s="239"/>
      <c r="D88" s="239"/>
      <c r="E88" s="266" t="s">
        <v>288</v>
      </c>
      <c r="F88" s="266" t="s">
        <v>681</v>
      </c>
      <c r="G88" s="279"/>
    </row>
    <row r="89" spans="1:7" x14ac:dyDescent="0.25">
      <c r="A89" s="426" t="s">
        <v>415</v>
      </c>
      <c r="B89" s="269">
        <f>SUM(B83,B86)</f>
        <v>131881.79140208499</v>
      </c>
      <c r="C89" s="239"/>
      <c r="D89" s="239"/>
      <c r="E89" s="266" t="s">
        <v>288</v>
      </c>
      <c r="F89" s="266" t="s">
        <v>684</v>
      </c>
      <c r="G89" s="279"/>
    </row>
    <row r="90" spans="1:7" x14ac:dyDescent="0.25">
      <c r="A90" s="426" t="s">
        <v>473</v>
      </c>
      <c r="B90" s="269">
        <f>B87*B59+B88*B61+B89*B60</f>
        <v>1017124.7061335593</v>
      </c>
      <c r="C90" s="239"/>
      <c r="D90" s="239"/>
      <c r="E90" s="266" t="s">
        <v>288</v>
      </c>
      <c r="F90" s="266" t="s">
        <v>685</v>
      </c>
      <c r="G90" s="279"/>
    </row>
    <row r="91" spans="1:7" x14ac:dyDescent="0.25">
      <c r="A91" s="426" t="s">
        <v>474</v>
      </c>
      <c r="B91" s="269">
        <f>B81*B59+B82*B61+B83*B60</f>
        <v>268766.21507715754</v>
      </c>
      <c r="C91" s="239"/>
      <c r="D91" s="239"/>
      <c r="E91" s="266" t="s">
        <v>288</v>
      </c>
      <c r="F91" s="266" t="s">
        <v>685</v>
      </c>
      <c r="G91" s="279"/>
    </row>
    <row r="92" spans="1:7" x14ac:dyDescent="0.25">
      <c r="A92" s="426" t="s">
        <v>476</v>
      </c>
      <c r="B92" s="269">
        <f>CONVERT(B90, "J", "MJ")</f>
        <v>1.0171247061335593</v>
      </c>
      <c r="C92" s="239"/>
      <c r="D92" s="239"/>
      <c r="E92" s="289" t="s">
        <v>270</v>
      </c>
      <c r="F92" s="266" t="s">
        <v>685</v>
      </c>
      <c r="G92" s="279"/>
    </row>
    <row r="93" spans="1:7" x14ac:dyDescent="0.25">
      <c r="A93" s="345" t="s">
        <v>384</v>
      </c>
      <c r="B93" s="346">
        <f t="shared" si="1"/>
        <v>4187</v>
      </c>
      <c r="C93" s="342"/>
      <c r="D93" s="342"/>
      <c r="E93" s="342" t="s">
        <v>370</v>
      </c>
      <c r="F93" s="342">
        <v>7</v>
      </c>
      <c r="G93" s="362"/>
    </row>
    <row r="94" spans="1:7" x14ac:dyDescent="0.25">
      <c r="A94" s="345" t="s">
        <v>385</v>
      </c>
      <c r="B94" s="346">
        <f t="shared" si="1"/>
        <v>10</v>
      </c>
      <c r="C94" s="364">
        <f>C50</f>
        <v>5</v>
      </c>
      <c r="D94" s="364">
        <f>D50</f>
        <v>20</v>
      </c>
      <c r="E94" s="409" t="s">
        <v>934</v>
      </c>
      <c r="F94" s="342"/>
      <c r="G94" s="351" t="s">
        <v>679</v>
      </c>
    </row>
    <row r="95" spans="1:7" x14ac:dyDescent="0.25">
      <c r="A95" s="345" t="s">
        <v>475</v>
      </c>
      <c r="B95" s="346">
        <f>B91/(B93*B94)</f>
        <v>6.4190641289027353</v>
      </c>
      <c r="C95" s="355"/>
      <c r="D95" s="355"/>
      <c r="E95" s="408" t="s">
        <v>42</v>
      </c>
      <c r="F95" s="342" t="s">
        <v>686</v>
      </c>
      <c r="G95" s="351" t="s">
        <v>943</v>
      </c>
    </row>
    <row r="96" spans="1:7" ht="36" x14ac:dyDescent="0.25">
      <c r="A96" s="341" t="s">
        <v>365</v>
      </c>
      <c r="B96" s="342"/>
      <c r="C96" s="355"/>
      <c r="D96" s="355"/>
      <c r="E96" s="355"/>
      <c r="F96" s="355"/>
      <c r="G96" s="362"/>
    </row>
    <row r="97" spans="1:7" ht="15.75" thickBot="1" x14ac:dyDescent="0.3">
      <c r="A97" s="352" t="s">
        <v>274</v>
      </c>
      <c r="B97" s="353">
        <f>'Hydrogen Decrepitation'!B20</f>
        <v>2.0408163265306123</v>
      </c>
      <c r="C97" s="365"/>
      <c r="D97" s="365"/>
      <c r="E97" s="410" t="s">
        <v>42</v>
      </c>
      <c r="F97" s="412" t="s">
        <v>680</v>
      </c>
      <c r="G97" s="371" t="s">
        <v>689</v>
      </c>
    </row>
  </sheetData>
  <mergeCells count="6">
    <mergeCell ref="J13:J16"/>
    <mergeCell ref="K13:K16"/>
    <mergeCell ref="H24:M24"/>
    <mergeCell ref="H25:I25"/>
    <mergeCell ref="J25:K25"/>
    <mergeCell ref="L25:M2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H25"/>
  <sheetViews>
    <sheetView workbookViewId="0">
      <selection activeCell="A23" sqref="A23:E23"/>
    </sheetView>
  </sheetViews>
  <sheetFormatPr defaultRowHeight="15" x14ac:dyDescent="0.25"/>
  <cols>
    <col min="1" max="1" width="26.85546875" customWidth="1"/>
    <col min="2" max="2" width="21.140625" bestFit="1" customWidth="1"/>
    <col min="3" max="3" width="22.42578125" customWidth="1"/>
    <col min="4" max="4" width="13" customWidth="1"/>
    <col min="5" max="5" width="14.7109375" customWidth="1"/>
  </cols>
  <sheetData>
    <row r="1" spans="1:8" ht="21" x14ac:dyDescent="0.35">
      <c r="H1" s="237" t="s">
        <v>646</v>
      </c>
    </row>
    <row r="3" spans="1:8" x14ac:dyDescent="0.25">
      <c r="A3" s="238"/>
    </row>
    <row r="4" spans="1:8" x14ac:dyDescent="0.25">
      <c r="A4">
        <v>0.43</v>
      </c>
      <c r="B4" t="s">
        <v>298</v>
      </c>
      <c r="C4" t="s">
        <v>692</v>
      </c>
    </row>
    <row r="5" spans="1:8" x14ac:dyDescent="0.25">
      <c r="A5">
        <v>0.1</v>
      </c>
      <c r="B5" t="s">
        <v>299</v>
      </c>
    </row>
    <row r="7" spans="1:8" ht="15" customHeight="1" x14ac:dyDescent="0.25">
      <c r="A7" s="259" t="s">
        <v>242</v>
      </c>
      <c r="B7" s="260" t="s">
        <v>78</v>
      </c>
      <c r="C7" s="260" t="s">
        <v>63</v>
      </c>
      <c r="D7" s="293" t="s">
        <v>331</v>
      </c>
    </row>
    <row r="8" spans="1:8" ht="15" customHeight="1" x14ac:dyDescent="0.25">
      <c r="A8" s="265" t="s">
        <v>366</v>
      </c>
      <c r="B8" s="266"/>
      <c r="C8" s="266"/>
      <c r="D8" s="292"/>
    </row>
    <row r="9" spans="1:8" ht="15" customHeight="1" x14ac:dyDescent="0.25">
      <c r="A9" t="s">
        <v>383</v>
      </c>
      <c r="B9" s="329">
        <f>A4</f>
        <v>0.43</v>
      </c>
      <c r="C9" s="291" t="s">
        <v>341</v>
      </c>
      <c r="D9" s="290" t="s">
        <v>680</v>
      </c>
    </row>
    <row r="10" spans="1:8" ht="15" customHeight="1" x14ac:dyDescent="0.25">
      <c r="A10" s="239" t="s">
        <v>274</v>
      </c>
      <c r="B10" s="269">
        <v>1</v>
      </c>
      <c r="C10" s="289" t="s">
        <v>42</v>
      </c>
      <c r="D10" s="290" t="s">
        <v>680</v>
      </c>
    </row>
    <row r="11" spans="1:8" ht="15" customHeight="1" x14ac:dyDescent="0.25">
      <c r="A11" s="239" t="s">
        <v>300</v>
      </c>
      <c r="B11" s="273">
        <f>B14*B9</f>
        <v>0.43</v>
      </c>
      <c r="C11" s="289" t="s">
        <v>42</v>
      </c>
      <c r="D11" s="290" t="s">
        <v>680</v>
      </c>
    </row>
    <row r="12" spans="1:8" ht="15" customHeight="1" x14ac:dyDescent="0.25">
      <c r="A12" s="239" t="s">
        <v>301</v>
      </c>
      <c r="B12" s="273">
        <v>0.1</v>
      </c>
      <c r="C12" s="289" t="s">
        <v>299</v>
      </c>
      <c r="D12" s="290" t="s">
        <v>680</v>
      </c>
    </row>
    <row r="13" spans="1:8" ht="15" customHeight="1" x14ac:dyDescent="0.25">
      <c r="A13" s="265" t="s">
        <v>367</v>
      </c>
      <c r="B13" s="266"/>
      <c r="C13" s="290"/>
      <c r="D13" s="290"/>
    </row>
    <row r="14" spans="1:8" x14ac:dyDescent="0.25">
      <c r="A14" s="239" t="s">
        <v>302</v>
      </c>
      <c r="B14" s="316">
        <v>1</v>
      </c>
      <c r="C14" s="317" t="s">
        <v>42</v>
      </c>
      <c r="D14" s="290" t="s">
        <v>680</v>
      </c>
    </row>
    <row r="15" spans="1:8" ht="15.75" thickBot="1" x14ac:dyDescent="0.3">
      <c r="A15" s="292"/>
      <c r="B15" s="292"/>
      <c r="C15" s="292"/>
      <c r="D15" s="292"/>
    </row>
    <row r="16" spans="1:8" ht="15.75" x14ac:dyDescent="0.25">
      <c r="A16" s="335" t="s">
        <v>419</v>
      </c>
      <c r="B16" s="336"/>
      <c r="C16" s="336"/>
      <c r="D16" s="336"/>
      <c r="E16" s="337"/>
    </row>
    <row r="17" spans="1:5" x14ac:dyDescent="0.25">
      <c r="A17" s="338" t="s">
        <v>242</v>
      </c>
      <c r="B17" s="339" t="s">
        <v>78</v>
      </c>
      <c r="C17" s="339" t="s">
        <v>63</v>
      </c>
      <c r="D17" s="361" t="s">
        <v>331</v>
      </c>
      <c r="E17" s="340" t="s">
        <v>22</v>
      </c>
    </row>
    <row r="18" spans="1:5" ht="17.25" x14ac:dyDescent="0.25">
      <c r="A18" s="341" t="s">
        <v>366</v>
      </c>
      <c r="B18" s="342"/>
      <c r="C18" s="342"/>
      <c r="D18" s="366"/>
      <c r="E18" s="367"/>
    </row>
    <row r="19" spans="1:5" ht="18" x14ac:dyDescent="0.35">
      <c r="A19" s="348" t="s">
        <v>687</v>
      </c>
      <c r="B19" s="358">
        <f>A4</f>
        <v>0.43</v>
      </c>
      <c r="C19" s="343" t="s">
        <v>688</v>
      </c>
      <c r="D19" s="416" t="s">
        <v>680</v>
      </c>
      <c r="E19" s="367"/>
    </row>
    <row r="20" spans="1:5" x14ac:dyDescent="0.25">
      <c r="A20" s="426" t="s">
        <v>274</v>
      </c>
      <c r="B20" s="269">
        <f>B10*B25</f>
        <v>2.0408163265306123</v>
      </c>
      <c r="C20" s="289" t="s">
        <v>42</v>
      </c>
      <c r="D20" s="290" t="s">
        <v>680</v>
      </c>
      <c r="E20" s="325"/>
    </row>
    <row r="21" spans="1:5" x14ac:dyDescent="0.25">
      <c r="A21" s="426" t="s">
        <v>423</v>
      </c>
      <c r="B21" s="273">
        <f>B25*B19</f>
        <v>0.87755102040816324</v>
      </c>
      <c r="C21" s="289" t="s">
        <v>42</v>
      </c>
      <c r="D21" s="290" t="s">
        <v>680</v>
      </c>
      <c r="E21" s="325"/>
    </row>
    <row r="22" spans="1:5" x14ac:dyDescent="0.25">
      <c r="A22" s="348" t="s">
        <v>484</v>
      </c>
      <c r="B22" s="347">
        <f>B12</f>
        <v>0.1</v>
      </c>
      <c r="C22" s="366" t="s">
        <v>485</v>
      </c>
      <c r="D22" s="416" t="s">
        <v>680</v>
      </c>
      <c r="E22" s="367"/>
    </row>
    <row r="23" spans="1:5" x14ac:dyDescent="0.25">
      <c r="A23" s="426" t="s">
        <v>422</v>
      </c>
      <c r="B23" s="273">
        <f>B22*B25</f>
        <v>0.20408163265306123</v>
      </c>
      <c r="C23" s="289" t="s">
        <v>299</v>
      </c>
      <c r="D23" s="290" t="s">
        <v>680</v>
      </c>
      <c r="E23" s="325"/>
    </row>
    <row r="24" spans="1:5" ht="17.25" x14ac:dyDescent="0.25">
      <c r="A24" s="433" t="s">
        <v>367</v>
      </c>
      <c r="B24" s="266"/>
      <c r="C24" s="305"/>
      <c r="D24" s="319"/>
      <c r="E24" s="325"/>
    </row>
    <row r="25" spans="1:5" ht="15.75" thickBot="1" x14ac:dyDescent="0.3">
      <c r="A25" s="429" t="s">
        <v>302</v>
      </c>
      <c r="B25" s="430">
        <f>'Jet Milling'!B14</f>
        <v>2.0408163265306123</v>
      </c>
      <c r="C25" s="431" t="s">
        <v>42</v>
      </c>
      <c r="D25" s="314" t="s">
        <v>680</v>
      </c>
      <c r="E25" s="432" t="s">
        <v>690</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J18"/>
  <sheetViews>
    <sheetView workbookViewId="0"/>
  </sheetViews>
  <sheetFormatPr defaultRowHeight="15" x14ac:dyDescent="0.25"/>
  <cols>
    <col min="1" max="1" width="26.28515625" bestFit="1" customWidth="1"/>
    <col min="2" max="2" width="8.5703125" bestFit="1" customWidth="1"/>
    <col min="3" max="3" width="24.85546875" customWidth="1"/>
    <col min="4" max="4" width="12.7109375" customWidth="1"/>
    <col min="5" max="5" width="15.140625" customWidth="1"/>
  </cols>
  <sheetData>
    <row r="1" spans="1:10" ht="21" x14ac:dyDescent="0.35">
      <c r="J1" s="237" t="s">
        <v>372</v>
      </c>
    </row>
    <row r="3" spans="1:10" x14ac:dyDescent="0.25">
      <c r="A3" s="238"/>
    </row>
    <row r="4" spans="1:10" x14ac:dyDescent="0.25">
      <c r="A4" s="259" t="s">
        <v>242</v>
      </c>
      <c r="B4" s="260" t="s">
        <v>78</v>
      </c>
      <c r="C4" s="260" t="s">
        <v>63</v>
      </c>
      <c r="D4" s="286" t="s">
        <v>331</v>
      </c>
    </row>
    <row r="5" spans="1:10" ht="18" x14ac:dyDescent="0.25">
      <c r="A5" s="265" t="s">
        <v>368</v>
      </c>
      <c r="B5" s="266"/>
      <c r="C5" s="266"/>
    </row>
    <row r="6" spans="1:10" ht="15" customHeight="1" x14ac:dyDescent="0.25">
      <c r="A6" s="239" t="s">
        <v>302</v>
      </c>
      <c r="B6" s="269">
        <v>1</v>
      </c>
      <c r="C6" s="289" t="s">
        <v>42</v>
      </c>
      <c r="D6" s="291" t="s">
        <v>680</v>
      </c>
    </row>
    <row r="7" spans="1:10" ht="15" customHeight="1" x14ac:dyDescent="0.25">
      <c r="A7" s="239" t="s">
        <v>301</v>
      </c>
      <c r="B7" s="273">
        <v>1.8</v>
      </c>
      <c r="C7" s="289" t="s">
        <v>299</v>
      </c>
      <c r="D7" s="291" t="s">
        <v>680</v>
      </c>
    </row>
    <row r="8" spans="1:10" ht="15" customHeight="1" x14ac:dyDescent="0.25">
      <c r="A8" s="265" t="s">
        <v>369</v>
      </c>
      <c r="B8" s="266"/>
      <c r="C8" s="290"/>
      <c r="D8" s="291"/>
    </row>
    <row r="9" spans="1:10" ht="15" customHeight="1" x14ac:dyDescent="0.25">
      <c r="A9" s="239" t="s">
        <v>303</v>
      </c>
      <c r="B9" s="316">
        <v>1</v>
      </c>
      <c r="C9" s="317" t="s">
        <v>42</v>
      </c>
      <c r="D9" s="291" t="s">
        <v>680</v>
      </c>
    </row>
    <row r="10" spans="1:10" ht="15" customHeight="1" thickBot="1" x14ac:dyDescent="0.3"/>
    <row r="11" spans="1:10" ht="15" customHeight="1" x14ac:dyDescent="0.25">
      <c r="A11" s="335" t="s">
        <v>419</v>
      </c>
      <c r="B11" s="336"/>
      <c r="C11" s="336"/>
      <c r="D11" s="414" t="s">
        <v>331</v>
      </c>
      <c r="E11" s="415" t="s">
        <v>22</v>
      </c>
    </row>
    <row r="12" spans="1:10" x14ac:dyDescent="0.25">
      <c r="A12" s="338" t="s">
        <v>242</v>
      </c>
      <c r="B12" s="339" t="s">
        <v>78</v>
      </c>
      <c r="C12" s="339" t="s">
        <v>63</v>
      </c>
      <c r="D12" s="366"/>
      <c r="E12" s="367"/>
    </row>
    <row r="13" spans="1:10" ht="18" x14ac:dyDescent="0.25">
      <c r="A13" s="341" t="s">
        <v>368</v>
      </c>
      <c r="B13" s="342"/>
      <c r="C13" s="342"/>
      <c r="D13" s="366"/>
      <c r="E13" s="367"/>
    </row>
    <row r="14" spans="1:10" x14ac:dyDescent="0.25">
      <c r="A14" s="426" t="s">
        <v>302</v>
      </c>
      <c r="B14" s="269">
        <f>B6*$B$18</f>
        <v>2.0408163265306123</v>
      </c>
      <c r="C14" s="289" t="s">
        <v>42</v>
      </c>
      <c r="D14" s="305" t="s">
        <v>680</v>
      </c>
      <c r="E14" s="325"/>
    </row>
    <row r="15" spans="1:10" x14ac:dyDescent="0.25">
      <c r="A15" s="348" t="s">
        <v>486</v>
      </c>
      <c r="B15" s="369">
        <f>B7</f>
        <v>1.8</v>
      </c>
      <c r="C15" s="343" t="s">
        <v>487</v>
      </c>
      <c r="D15" s="343" t="s">
        <v>680</v>
      </c>
      <c r="E15" s="367"/>
    </row>
    <row r="16" spans="1:10" x14ac:dyDescent="0.25">
      <c r="A16" s="426" t="s">
        <v>424</v>
      </c>
      <c r="B16" s="269">
        <f>B15*$B$18</f>
        <v>3.6734693877551021</v>
      </c>
      <c r="C16" s="289" t="s">
        <v>299</v>
      </c>
      <c r="D16" s="305" t="s">
        <v>680</v>
      </c>
      <c r="E16" s="325"/>
    </row>
    <row r="17" spans="1:5" ht="18" x14ac:dyDescent="0.25">
      <c r="A17" s="341" t="s">
        <v>369</v>
      </c>
      <c r="B17" s="342"/>
      <c r="C17" s="343"/>
      <c r="D17" s="366"/>
      <c r="E17" s="367"/>
    </row>
    <row r="18" spans="1:5" ht="15.75" thickBot="1" x14ac:dyDescent="0.3">
      <c r="A18" s="429" t="s">
        <v>303</v>
      </c>
      <c r="B18" s="430">
        <f>'Aligning and Pressing'!B15</f>
        <v>2.0408163265306123</v>
      </c>
      <c r="C18" s="431" t="s">
        <v>42</v>
      </c>
      <c r="D18" s="314" t="s">
        <v>680</v>
      </c>
      <c r="E18" s="432" t="s">
        <v>691</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I19"/>
  <sheetViews>
    <sheetView workbookViewId="0"/>
  </sheetViews>
  <sheetFormatPr defaultRowHeight="15" x14ac:dyDescent="0.25"/>
  <cols>
    <col min="1" max="1" width="35.5703125" bestFit="1" customWidth="1"/>
    <col min="2" max="2" width="8.5703125" bestFit="1" customWidth="1"/>
    <col min="3" max="3" width="23" customWidth="1"/>
    <col min="4" max="4" width="13.140625" customWidth="1"/>
    <col min="5" max="5" width="15.85546875" customWidth="1"/>
  </cols>
  <sheetData>
    <row r="1" spans="1:9" ht="21" x14ac:dyDescent="0.35">
      <c r="I1" s="237" t="s">
        <v>373</v>
      </c>
    </row>
    <row r="4" spans="1:9" x14ac:dyDescent="0.25">
      <c r="A4" s="238" t="s">
        <v>246</v>
      </c>
    </row>
    <row r="5" spans="1:9" ht="15" customHeight="1" x14ac:dyDescent="0.25">
      <c r="A5" s="260" t="s">
        <v>242</v>
      </c>
      <c r="B5" s="260" t="s">
        <v>78</v>
      </c>
      <c r="C5" s="260" t="s">
        <v>63</v>
      </c>
      <c r="D5" s="261" t="s">
        <v>331</v>
      </c>
    </row>
    <row r="6" spans="1:9" ht="15" customHeight="1" x14ac:dyDescent="0.25">
      <c r="A6" s="265" t="s">
        <v>368</v>
      </c>
      <c r="B6" s="266"/>
      <c r="C6" s="266"/>
    </row>
    <row r="7" spans="1:9" ht="15" customHeight="1" x14ac:dyDescent="0.25">
      <c r="A7" s="239" t="s">
        <v>303</v>
      </c>
      <c r="B7" s="269">
        <v>1</v>
      </c>
      <c r="C7" s="289" t="s">
        <v>42</v>
      </c>
    </row>
    <row r="8" spans="1:9" ht="15" customHeight="1" x14ac:dyDescent="0.25">
      <c r="A8" s="239" t="s">
        <v>301</v>
      </c>
      <c r="B8" s="273">
        <v>0.4</v>
      </c>
      <c r="C8" s="289" t="s">
        <v>299</v>
      </c>
    </row>
    <row r="9" spans="1:9" ht="15" customHeight="1" x14ac:dyDescent="0.25">
      <c r="A9" s="265" t="s">
        <v>369</v>
      </c>
      <c r="B9" s="266"/>
      <c r="C9" s="315"/>
    </row>
    <row r="10" spans="1:9" ht="15" customHeight="1" x14ac:dyDescent="0.25">
      <c r="A10" s="239" t="s">
        <v>304</v>
      </c>
      <c r="B10" s="316">
        <v>1</v>
      </c>
      <c r="C10" s="317" t="s">
        <v>42</v>
      </c>
    </row>
    <row r="11" spans="1:9" ht="15.75" thickBot="1" x14ac:dyDescent="0.3">
      <c r="B11" s="291"/>
      <c r="C11" s="291"/>
    </row>
    <row r="12" spans="1:9" ht="15.75" x14ac:dyDescent="0.25">
      <c r="A12" s="335" t="s">
        <v>419</v>
      </c>
      <c r="B12" s="336"/>
      <c r="C12" s="336"/>
      <c r="D12" s="417"/>
      <c r="E12" s="418"/>
    </row>
    <row r="13" spans="1:9" x14ac:dyDescent="0.25">
      <c r="A13" s="350" t="s">
        <v>242</v>
      </c>
      <c r="B13" s="339" t="s">
        <v>78</v>
      </c>
      <c r="C13" s="339" t="s">
        <v>63</v>
      </c>
      <c r="D13" s="361" t="s">
        <v>331</v>
      </c>
      <c r="E13" s="340" t="s">
        <v>22</v>
      </c>
    </row>
    <row r="14" spans="1:9" ht="18" x14ac:dyDescent="0.25">
      <c r="A14" s="341" t="s">
        <v>368</v>
      </c>
      <c r="B14" s="342"/>
      <c r="C14" s="342"/>
      <c r="D14" s="366"/>
      <c r="E14" s="344" t="s">
        <v>693</v>
      </c>
    </row>
    <row r="15" spans="1:9" x14ac:dyDescent="0.25">
      <c r="A15" s="426" t="s">
        <v>303</v>
      </c>
      <c r="B15" s="269">
        <f>B7*$B$19</f>
        <v>2.0408163265306123</v>
      </c>
      <c r="C15" s="289" t="s">
        <v>42</v>
      </c>
      <c r="D15" s="305" t="s">
        <v>680</v>
      </c>
      <c r="E15" s="325"/>
    </row>
    <row r="16" spans="1:9" x14ac:dyDescent="0.25">
      <c r="A16" s="348" t="s">
        <v>491</v>
      </c>
      <c r="B16" s="369">
        <f>B8</f>
        <v>0.4</v>
      </c>
      <c r="C16" s="366" t="s">
        <v>492</v>
      </c>
      <c r="D16" s="343" t="s">
        <v>680</v>
      </c>
      <c r="E16" s="367"/>
    </row>
    <row r="17" spans="1:5" x14ac:dyDescent="0.25">
      <c r="A17" s="426" t="s">
        <v>425</v>
      </c>
      <c r="B17" s="269">
        <f>B8*$B$19</f>
        <v>0.81632653061224492</v>
      </c>
      <c r="C17" s="289" t="s">
        <v>299</v>
      </c>
      <c r="D17" s="305" t="s">
        <v>680</v>
      </c>
      <c r="E17" s="325"/>
    </row>
    <row r="18" spans="1:5" ht="18" x14ac:dyDescent="0.25">
      <c r="A18" s="341" t="s">
        <v>369</v>
      </c>
      <c r="B18" s="342"/>
      <c r="C18" s="342"/>
      <c r="D18" s="343"/>
      <c r="E18" s="367"/>
    </row>
    <row r="19" spans="1:5" ht="15.75" thickBot="1" x14ac:dyDescent="0.3">
      <c r="A19" s="429" t="s">
        <v>568</v>
      </c>
      <c r="B19" s="430">
        <f>'Vacuum Sintering'!H8</f>
        <v>2.0408163265306123</v>
      </c>
      <c r="C19" s="431" t="s">
        <v>42</v>
      </c>
      <c r="D19" s="314" t="s">
        <v>680</v>
      </c>
      <c r="E19" s="312" t="s">
        <v>694</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85DBD8FD-AABA-4729-A05D-0812705945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33B870-92E5-43AE-9648-9052675E9E77}">
  <ds:schemaRefs>
    <ds:schemaRef ds:uri="http://schemas.microsoft.com/sharepoint/v3/contenttype/forms"/>
  </ds:schemaRefs>
</ds:datastoreItem>
</file>

<file path=customXml/itemProps3.xml><?xml version="1.0" encoding="utf-8"?>
<ds:datastoreItem xmlns:ds="http://schemas.openxmlformats.org/officeDocument/2006/customXml" ds:itemID="{E7EC7391-6BBC-485A-BDF4-116F333A8BA8}">
  <ds:schemaRefs>
    <ds:schemaRef ds:uri="http://purl.org/dc/terms/"/>
    <ds:schemaRef ds:uri="http://purl.org/dc/dcmitype/"/>
    <ds:schemaRef ds:uri="http://purl.org/dc/elements/1.1/"/>
    <ds:schemaRef ds:uri="http://schemas.microsoft.com/office/2006/documentManagement/types"/>
    <ds:schemaRef ds:uri="c75d1172-787a-498f-aaff-e17d79596d1f"/>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Info</vt:lpstr>
      <vt:lpstr>Data Summary</vt:lpstr>
      <vt:lpstr>PS</vt:lpstr>
      <vt:lpstr>Reference Source Info</vt:lpstr>
      <vt:lpstr>DQI</vt:lpstr>
      <vt:lpstr>Alloying</vt:lpstr>
      <vt:lpstr>Hydrogen Decrepitation</vt:lpstr>
      <vt:lpstr>Jet Milling</vt:lpstr>
      <vt:lpstr>Aligning and Pressing</vt:lpstr>
      <vt:lpstr>Vacuum Sintering</vt:lpstr>
      <vt:lpstr>Grinding and Slicing</vt:lpstr>
      <vt:lpstr>Electroplating</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DS_Stage1_O_NdFeB_Magnet_Manufacturing.2014.01</dc:title>
  <dc:creator>Jeremie Isaac Hakian</dc:creator>
  <cp:lastModifiedBy>Matthew B. Jamieson</cp:lastModifiedBy>
  <dcterms:created xsi:type="dcterms:W3CDTF">2014-07-03T16:29:02Z</dcterms:created>
  <dcterms:modified xsi:type="dcterms:W3CDTF">2014-12-18T19:29:17Z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