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270" yWindow="330" windowWidth="5790" windowHeight="12795" activeTab="1"/>
  </bookViews>
  <sheets>
    <sheet name="Info" sheetId="1" r:id="rId1"/>
    <sheet name="Data Summary" sheetId="2" r:id="rId2"/>
    <sheet name="PS" sheetId="3" r:id="rId3"/>
    <sheet name="Reference Source Info" sheetId="4" r:id="rId4"/>
    <sheet name="DQI" sheetId="5" r:id="rId5"/>
    <sheet name="Calculations Sheet" sheetId="6" r:id="rId6"/>
    <sheet name="Conversions" sheetId="7" r:id="rId7"/>
    <sheet name="Assumptions" sheetId="8" r:id="rId8"/>
    <sheet name="Chart" sheetId="9" r:id="rId9"/>
    <sheet name="GaBi 5 Import" sheetId="10" r:id="rId10"/>
    <sheet name="Sheet1" sheetId="11" r:id="rId11"/>
  </sheets>
  <calcPr calcId="171027" calcMode="manual"/>
</workbook>
</file>

<file path=xl/calcChain.xml><?xml version="1.0" encoding="utf-8"?>
<calcChain xmlns="http://schemas.openxmlformats.org/spreadsheetml/2006/main">
  <c r="K6" i="5" l="1"/>
  <c r="J6" i="5"/>
  <c r="I6" i="5"/>
  <c r="K9" i="5" l="1"/>
  <c r="J9" i="5"/>
  <c r="I9" i="5"/>
  <c r="D60" i="2"/>
  <c r="E60" i="2"/>
  <c r="D68" i="2" l="1"/>
  <c r="E56" i="2"/>
  <c r="E57" i="2"/>
  <c r="E67" i="2" s="1"/>
  <c r="E58" i="2"/>
  <c r="E59" i="2"/>
  <c r="E66" i="2" s="1"/>
  <c r="D63" i="2"/>
  <c r="D64" i="2"/>
  <c r="D65" i="2"/>
  <c r="D66" i="2"/>
  <c r="D67" i="2"/>
  <c r="E55" i="2"/>
  <c r="E62" i="2" s="1"/>
  <c r="E61" i="2"/>
  <c r="D62" i="2"/>
  <c r="B67" i="2"/>
  <c r="B66" i="2"/>
  <c r="B65" i="2"/>
  <c r="B64" i="2"/>
  <c r="B63" i="2"/>
  <c r="B62" i="2"/>
  <c r="B47" i="2"/>
  <c r="D61" i="2"/>
  <c r="D59" i="2"/>
  <c r="D58" i="2"/>
  <c r="D57" i="2"/>
  <c r="D56" i="2"/>
  <c r="D55" i="2"/>
  <c r="B68" i="2"/>
  <c r="B61" i="2"/>
  <c r="B60" i="2"/>
  <c r="B59" i="2"/>
  <c r="B58" i="2"/>
  <c r="B57" i="2"/>
  <c r="B56" i="2"/>
  <c r="B55" i="2"/>
  <c r="B54" i="2"/>
  <c r="B53" i="2"/>
  <c r="B52" i="2"/>
  <c r="B51" i="2"/>
  <c r="B50" i="2"/>
  <c r="B49" i="2"/>
  <c r="B48" i="2"/>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C5" i="3"/>
  <c r="E24" i="2"/>
  <c r="E25" i="2"/>
  <c r="E28" i="2"/>
  <c r="E29" i="2"/>
  <c r="E30" i="2"/>
  <c r="E31" i="2"/>
  <c r="E33" i="2"/>
  <c r="E40" i="2"/>
  <c r="E42" i="2"/>
  <c r="G75" i="2" s="1"/>
  <c r="I75" i="2" s="1"/>
  <c r="E43" i="2"/>
  <c r="B18" i="6"/>
  <c r="A9" i="11"/>
  <c r="G2" i="11"/>
  <c r="G3" i="11" s="1"/>
  <c r="G4" i="11" s="1"/>
  <c r="A10" i="11" s="1"/>
  <c r="A12" i="11" s="1"/>
  <c r="G6" i="11"/>
  <c r="A11" i="11" s="1"/>
  <c r="B40" i="2"/>
  <c r="B46" i="2"/>
  <c r="B45" i="2"/>
  <c r="B44" i="2"/>
  <c r="B26" i="2"/>
  <c r="B25" i="2"/>
  <c r="B24" i="2"/>
  <c r="B23" i="2"/>
  <c r="B8" i="6"/>
  <c r="B36" i="2"/>
  <c r="B35" i="2"/>
  <c r="B31" i="2"/>
  <c r="H75" i="2"/>
  <c r="E34" i="7"/>
  <c r="E35" i="7" s="1"/>
  <c r="E38" i="7"/>
  <c r="E39" i="7" s="1"/>
  <c r="E40" i="7" s="1"/>
  <c r="E41" i="7" s="1"/>
  <c r="B19" i="6" s="1"/>
  <c r="E34" i="2" s="1"/>
  <c r="B42" i="2"/>
  <c r="B41" i="2"/>
  <c r="B39" i="2"/>
  <c r="B38" i="2"/>
  <c r="B37" i="2"/>
  <c r="B34" i="2"/>
  <c r="B33" i="2"/>
  <c r="E44" i="7"/>
  <c r="E32" i="7"/>
  <c r="E25" i="7"/>
  <c r="E26" i="7" s="1"/>
  <c r="E29" i="7" s="1"/>
  <c r="E21" i="7"/>
  <c r="E17" i="7"/>
  <c r="E15" i="7"/>
  <c r="E16" i="7" s="1"/>
  <c r="E14" i="7"/>
  <c r="E8" i="7"/>
  <c r="E6" i="7"/>
  <c r="D3" i="1"/>
  <c r="C26" i="1" s="1"/>
  <c r="I10" i="5"/>
  <c r="N5" i="2" s="1"/>
  <c r="K8" i="5"/>
  <c r="J8" i="5"/>
  <c r="I8" i="5"/>
  <c r="K7" i="5"/>
  <c r="J7" i="5"/>
  <c r="I7"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76" i="2"/>
  <c r="H74" i="2"/>
  <c r="B43" i="2"/>
  <c r="B32" i="2"/>
  <c r="B30" i="2"/>
  <c r="B29" i="2"/>
  <c r="B28" i="2"/>
  <c r="B27" i="2"/>
  <c r="G11" i="2"/>
  <c r="D4" i="1"/>
  <c r="G76" i="2"/>
  <c r="I76" i="2" s="1"/>
  <c r="E27" i="7" l="1"/>
  <c r="E65" i="2"/>
  <c r="E26" i="2"/>
  <c r="E36" i="2" s="1"/>
  <c r="E35" i="2" s="1"/>
  <c r="E45" i="2" s="1"/>
  <c r="E63" i="2"/>
  <c r="E64" i="2"/>
  <c r="E68" i="2" l="1"/>
  <c r="G77" i="2" s="1"/>
  <c r="I77" i="2" s="1"/>
  <c r="E39" i="2"/>
  <c r="E41" i="2" s="1"/>
  <c r="G74" i="2" s="1"/>
  <c r="I74" i="2" s="1"/>
  <c r="E46" i="2"/>
</calcChain>
</file>

<file path=xl/sharedStrings.xml><?xml version="1.0" encoding="utf-8"?>
<sst xmlns="http://schemas.openxmlformats.org/spreadsheetml/2006/main" count="1088" uniqueCount="724">
  <si>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</si>
  <si>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</si>
  <si>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</si>
  <si>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</si>
  <si>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</si>
  <si>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</si>
  <si>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</si>
  <si>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</si>
  <si>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</si>
  <si>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</si>
  <si>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</si>
  <si>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</si>
  <si>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</si>
  <si>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</si>
  <si>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</si>
  <si>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</si>
  <si>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</si>
  <si>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</si>
  <si>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</si>
  <si>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</si>
  <si>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</si>
  <si>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</si>
  <si>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</si>
  <si>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</si>
  <si>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</si>
  <si>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</si>
  <si>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</si>
  <si>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</si>
  <si>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</si>
  <si>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</si>
  <si>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</si>
  <si>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</si>
  <si>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</si>
  <si>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</si>
  <si>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</si>
  <si>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</si>
  <si>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</si>
  <si>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</si>
  <si>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</si>
  <si>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</si>
  <si>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</si>
  <si>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</si>
  <si>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</si>
  <si>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</si>
  <si>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</si>
  <si>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</si>
  <si>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</si>
  <si>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</si>
  <si>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</si>
  <si>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</si>
  <si>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</si>
  <si>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</si>
  <si>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</si>
  <si>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</si>
  <si>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</si>
  <si>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</si>
  <si>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</si>
  <si>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</si>
  <si>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</si>
  <si>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</si>
  <si>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</si>
  <si>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</si>
  <si>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</si>
  <si>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</si>
  <si>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</si>
  <si>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</si>
  <si>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</si>
  <si>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</si>
  <si>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</si>
  <si>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</si>
  <si>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</si>
  <si>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</si>
  <si>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</si>
  <si>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</si>
  <si>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</si>
  <si>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</si>
  <si>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</si>
  <si>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</si>
  <si>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</si>
  <si>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</si>
  <si>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</si>
  <si>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</si>
  <si>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</si>
  <si>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Renewable resources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</si>
  <si>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</si>
  <si>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</si>
  <si>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</si>
  <si>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</si>
  <si>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</si>
  <si>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</si>
  <si>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</si>
  <si>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</si>
  <si>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</si>
  <si>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</si>
  <si>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</si>
  <si>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</si>
  <si>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</si>
  <si>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</si>
  <si>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</si>
  <si>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</si>
  <si>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</si>
  <si>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</si>
  <si>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</si>
  <si>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</si>
  <si>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</si>
  <si>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</si>
  <si>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</si>
  <si>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</si>
  <si>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</si>
  <si>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</si>
  <si>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</si>
  <si>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</si>
  <si>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</si>
  <si>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</si>
  <si>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</si>
  <si>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</si>
  <si>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</si>
  <si>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</si>
  <si>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</si>
  <si>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</si>
  <si>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</si>
  <si>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</si>
  <si>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</si>
  <si>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</si>
  <si>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</si>
  <si>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</si>
  <si>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</si>
  <si>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</si>
  <si>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</si>
  <si>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</si>
  <si>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</si>
  <si>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</si>
  <si>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</si>
  <si>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</si>
  <si>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</si>
  <si>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</si>
  <si>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</si>
  <si>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</si>
  <si>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</si>
  <si>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</si>
  <si>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</si>
  <si>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</si>
  <si>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</si>
  <si>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</si>
  <si>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</si>
  <si>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</si>
  <si>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</si>
  <si>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</si>
  <si>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</si>
  <si>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</si>
  <si>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</si>
  <si>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</si>
  <si>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</si>
  <si>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</si>
  <si>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</si>
  <si>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</si>
  <si>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</si>
  <si>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</si>
  <si>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</si>
  <si>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</si>
  <si>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</si>
  <si>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</si>
  <si>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</si>
  <si>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</si>
  <si>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</si>
  <si>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</si>
  <si>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</si>
  <si>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</si>
  <si>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</si>
  <si>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</si>
  <si>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</si>
  <si>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</si>
  <si>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</si>
  <si>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</si>
  <si>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</si>
  <si>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</si>
  <si>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</si>
  <si>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</si>
  <si>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</si>
  <si>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</si>
  <si>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</si>
  <si>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</si>
  <si>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</si>
  <si>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</si>
  <si>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</si>
  <si>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</si>
  <si>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</si>
  <si>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</si>
  <si>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</si>
  <si>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</si>
  <si>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</si>
  <si>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</si>
  <si>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</si>
  <si>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</si>
  <si>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</si>
  <si>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</si>
  <si>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</si>
  <si>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</si>
  <si>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</si>
  <si>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</si>
  <si>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</si>
  <si>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</si>
  <si>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</si>
  <si>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</si>
  <si>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</si>
  <si>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</si>
  <si>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</si>
  <si>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</si>
  <si>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</si>
  <si>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</si>
  <si>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</si>
  <si>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</si>
  <si>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</si>
  <si>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</si>
  <si>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</si>
  <si>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</si>
  <si>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</si>
  <si>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</si>
  <si>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</si>
  <si>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</si>
  <si>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</si>
  <si>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</si>
  <si>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</si>
  <si>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</si>
  <si>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</si>
  <si>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</si>
  <si>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</si>
  <si>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</si>
  <si>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</si>
  <si>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</si>
  <si>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Reboiled stabilizer column</t>
  </si>
  <si>
    <t>◦F</t>
  </si>
  <si>
    <t>Btu/bbl-◦F</t>
  </si>
  <si>
    <t>Heater fuel use</t>
  </si>
  <si>
    <t>btu/btu</t>
  </si>
  <si>
    <t>Length</t>
  </si>
  <si>
    <t>feet per meter</t>
  </si>
  <si>
    <t>ft/m</t>
  </si>
  <si>
    <t>meters per foot</t>
  </si>
  <si>
    <t>m/ft</t>
  </si>
  <si>
    <t>meters per inch</t>
  </si>
  <si>
    <t>m/in</t>
  </si>
  <si>
    <t>inches per meter</t>
  </si>
  <si>
    <t>in/m</t>
  </si>
  <si>
    <t>miles per kilometer</t>
  </si>
  <si>
    <t>mi/km</t>
  </si>
  <si>
    <t>Mass</t>
  </si>
  <si>
    <t>pounds per kilogram</t>
  </si>
  <si>
    <t>lb/kg</t>
  </si>
  <si>
    <t>kilogram per pounds</t>
  </si>
  <si>
    <t>kg/lb</t>
  </si>
  <si>
    <t>grams per kilogram</t>
  </si>
  <si>
    <t>g/kg</t>
  </si>
  <si>
    <t>kilograms per gram</t>
  </si>
  <si>
    <t>kg/g</t>
  </si>
  <si>
    <t>grams per pound</t>
  </si>
  <si>
    <t>g/lb</t>
  </si>
  <si>
    <t>pounds per gram</t>
  </si>
  <si>
    <t>lb/g</t>
  </si>
  <si>
    <t>pounds per component-day</t>
  </si>
  <si>
    <t>g per component-yr</t>
  </si>
  <si>
    <t>Volume</t>
  </si>
  <si>
    <t>m3 per yd3</t>
  </si>
  <si>
    <t>m3/yd3</t>
  </si>
  <si>
    <t>gallons per barrel</t>
  </si>
  <si>
    <t>gal/bbl</t>
  </si>
  <si>
    <t>bbls per gallon</t>
  </si>
  <si>
    <t>bbl/gal</t>
  </si>
  <si>
    <t>liters per gallon</t>
  </si>
  <si>
    <t>l/gal</t>
  </si>
  <si>
    <t>liters per cuft</t>
  </si>
  <si>
    <t>l/cuft</t>
  </si>
  <si>
    <t>liters per bbl</t>
  </si>
  <si>
    <t>l/bbl</t>
  </si>
  <si>
    <t>m3 per bbl</t>
  </si>
  <si>
    <t>m3/bbl</t>
  </si>
  <si>
    <t>ft3 per bbl</t>
  </si>
  <si>
    <t>ft3/bbl</t>
  </si>
  <si>
    <t>bbl per m3</t>
  </si>
  <si>
    <t>bbl/m3</t>
  </si>
  <si>
    <t>liters per mol @ STP</t>
  </si>
  <si>
    <t>l/mol</t>
  </si>
  <si>
    <t>ft3 per m3</t>
  </si>
  <si>
    <t>ft3/m3</t>
  </si>
  <si>
    <t>Energy</t>
  </si>
  <si>
    <t>Btu per Joule</t>
  </si>
  <si>
    <t>Btu/J</t>
  </si>
  <si>
    <t>Btu per MJ</t>
  </si>
  <si>
    <t>Btu/MJ</t>
  </si>
  <si>
    <t>Joules per Btu</t>
  </si>
  <si>
    <t>J/Btu</t>
  </si>
  <si>
    <t>MJ per Btu</t>
  </si>
  <si>
    <t>MJ/Btu</t>
  </si>
  <si>
    <t>MJ per MMBtu</t>
  </si>
  <si>
    <t>MJ/MMBtu</t>
  </si>
  <si>
    <t>Joules per calorie</t>
  </si>
  <si>
    <t>J/cal</t>
  </si>
  <si>
    <t>MJ per kWh</t>
  </si>
  <si>
    <t>MJ/kWh</t>
  </si>
  <si>
    <t>kWh per MJ</t>
  </si>
  <si>
    <t>kWh/MJ</t>
  </si>
  <si>
    <t>kWh per Btu</t>
  </si>
  <si>
    <t>kWh/Btu</t>
  </si>
  <si>
    <t>Btu per kWh</t>
  </si>
  <si>
    <t>Btu/kWh</t>
  </si>
  <si>
    <t>MMBtu per MWh</t>
  </si>
  <si>
    <t>MMBtu/MWh</t>
  </si>
  <si>
    <t>Power</t>
  </si>
  <si>
    <t>hp per kW</t>
  </si>
  <si>
    <t>hp/kW</t>
  </si>
  <si>
    <t>kW per hp</t>
  </si>
  <si>
    <t>kW/hp</t>
  </si>
  <si>
    <t>Table 4.1: Other fuels properties</t>
  </si>
  <si>
    <t>Fuel</t>
  </si>
  <si>
    <t>Density</t>
  </si>
  <si>
    <t>C ratio</t>
  </si>
  <si>
    <t>LHV</t>
  </si>
  <si>
    <t>HHV</t>
  </si>
  <si>
    <t>(% by wt)</t>
  </si>
  <si>
    <t>Liquid Fuels:</t>
  </si>
  <si>
    <t>Btu/gal</t>
  </si>
  <si>
    <t>grams/gal</t>
  </si>
  <si>
    <t>Crude oil</t>
  </si>
  <si>
    <t>Conventional gasoline</t>
  </si>
  <si>
    <t>Reformulated or low-sulfur gasoline</t>
  </si>
  <si>
    <t>CA reformulated gasoline</t>
  </si>
  <si>
    <t>U.S. conventional diesel</t>
  </si>
  <si>
    <t>Diesel for non-road engines</t>
  </si>
  <si>
    <t>Low-sulfur diesel</t>
  </si>
  <si>
    <t>Liquid petroleum gas (LPG)</t>
  </si>
  <si>
    <t>Residual oil</t>
  </si>
  <si>
    <t>Gaseous Fuels (at 32F and 1atm):</t>
  </si>
  <si>
    <t>Btu/ft3</t>
  </si>
  <si>
    <t>gms/ft3</t>
  </si>
  <si>
    <t>Natural gas</t>
  </si>
  <si>
    <t>Gaseous hydrogen</t>
  </si>
  <si>
    <t>Carbon Dioxide</t>
  </si>
  <si>
    <t>Still gas (in refineries)</t>
  </si>
  <si>
    <t>Solid fuels</t>
  </si>
  <si>
    <t>Btu/ton</t>
  </si>
  <si>
    <t>Petroleum coke</t>
  </si>
  <si>
    <t>Coal</t>
  </si>
  <si>
    <t>Bituminous coal</t>
  </si>
  <si>
    <t>Coking coal</t>
  </si>
  <si>
    <t>kWh/MMBtu</t>
  </si>
  <si>
    <t>Volume of oil heated</t>
  </si>
  <si>
    <t>bbl/day</t>
  </si>
  <si>
    <t>Feed_temp</t>
  </si>
  <si>
    <t>Crude_SH</t>
  </si>
  <si>
    <t>Heat_loss</t>
  </si>
  <si>
    <t>deg F</t>
  </si>
  <si>
    <t>Hfuel_use</t>
  </si>
  <si>
    <t>Efuel_use</t>
  </si>
  <si>
    <t>Gas_heat</t>
  </si>
  <si>
    <t>Electric_heat</t>
  </si>
  <si>
    <t>NG_fuel</t>
  </si>
  <si>
    <t>NGL_fuel</t>
  </si>
  <si>
    <t>Heat_duty</t>
  </si>
  <si>
    <t>NG</t>
  </si>
  <si>
    <t>NGL</t>
  </si>
  <si>
    <t>Electricity</t>
  </si>
  <si>
    <t>Electric_heat*Heat_duty*Efuel_use</t>
  </si>
  <si>
    <t>Heat, electricity</t>
  </si>
  <si>
    <t>kWh</t>
  </si>
  <si>
    <t>No</t>
  </si>
  <si>
    <t>Oil Production Greenhouse Gas Emissions Estimator (OPGEE) v1.1 DRAFT A: User guide &amp; Technical documentation</t>
  </si>
  <si>
    <t>El-Houjeiri, H. M.</t>
  </si>
  <si>
    <t>S. McNally
A. Brandt</t>
  </si>
  <si>
    <t>2013</t>
  </si>
  <si>
    <t xml:space="preserve">El-Houjeiri, H. M., McNally, S., &amp; Brandt, A. R. (2013). Oil Production Greenhouse Gas Emissions Estimator OPGEE v1.1 DRAFT A: User guide &amp; Technical documentation.   </t>
  </si>
  <si>
    <t>This user guide and technical documentation contains a full description of the process, equations for energy use, and citation of all sources used to build the model.</t>
  </si>
  <si>
    <t>Energy requirements</t>
  </si>
  <si>
    <t>Heater treater</t>
  </si>
  <si>
    <t>The use of a heater-treater to remove water from produced oil.</t>
  </si>
  <si>
    <t>Entrained water</t>
  </si>
  <si>
    <t>Fraction of oil emulsion</t>
  </si>
  <si>
    <t>Specific heat of water</t>
  </si>
  <si>
    <t>Entrained_H2O</t>
  </si>
  <si>
    <t>Water_SH</t>
  </si>
  <si>
    <t>Volume_water</t>
  </si>
  <si>
    <t>Volume_oil</t>
  </si>
  <si>
    <t>Treat_temp</t>
  </si>
  <si>
    <t>Feed temperature</t>
  </si>
  <si>
    <t>Specific heat of crude oil</t>
  </si>
  <si>
    <t>Heat loss</t>
  </si>
  <si>
    <t>Treating temperature</t>
  </si>
  <si>
    <t>World</t>
  </si>
  <si>
    <t>N/A</t>
  </si>
  <si>
    <t>[Technosphere] Natural gas heat source for the heater-treater</t>
  </si>
  <si>
    <t>[Technosphere] NGL heat source for the heater-treater</t>
  </si>
  <si>
    <t>[Technosphere] Electricity heat source for the heater-treater</t>
  </si>
  <si>
    <t>Heat, natural gas, external combustion</t>
  </si>
  <si>
    <t>Heat, natural gas liquids, external combustion</t>
  </si>
  <si>
    <t>[deg F] The temperature of feed, which contains entrained water</t>
  </si>
  <si>
    <t>[deg F] The temperature at which the oil-water stream is treated</t>
  </si>
  <si>
    <t>[dimensionless] Heat loss directly from the oil-water emulsion</t>
  </si>
  <si>
    <t>[bbl/kg] The volume of oil with water entrained in it</t>
  </si>
  <si>
    <t>[boolean] Select 1 if a gas fired heater is used</t>
  </si>
  <si>
    <t>[boolean] Select 1 if an electric heater is used</t>
  </si>
  <si>
    <t>[boolean] Select 1 if natural gas is used in the gas fired heater</t>
  </si>
  <si>
    <t>[boolean] Select 1 if NGLs are used in the gas fired heater</t>
  </si>
  <si>
    <t>[MMBtu/kg] The amount of heat required, before losses</t>
  </si>
  <si>
    <t>[kWh/kg] Electricity required</t>
  </si>
  <si>
    <t>Field/production parameters</t>
  </si>
  <si>
    <t>Product</t>
  </si>
  <si>
    <t>API</t>
  </si>
  <si>
    <t>Specific Gravity</t>
  </si>
  <si>
    <t>[deg API] API of the crude oil being produced. Heavy Venezuelan crude has an API of just over 10, and Bakken crude can be around 42.</t>
  </si>
  <si>
    <t>SG_oil</t>
  </si>
  <si>
    <t>141.5/(API+131.5)</t>
  </si>
  <si>
    <t>[dimensionless] Specific gravity of the crude oil, calculated from the API</t>
  </si>
  <si>
    <t>bbl_m3</t>
  </si>
  <si>
    <t>bbl/cu.m</t>
  </si>
  <si>
    <t>[Barrels per cubic meter] Conversion factor</t>
  </si>
  <si>
    <t>Density_oil</t>
  </si>
  <si>
    <t>SG_oil*1000/bbl_m3</t>
  </si>
  <si>
    <t>kg/bbl</t>
  </si>
  <si>
    <t>[Kg per barrel] Conversion of bbl of oil to kg</t>
  </si>
  <si>
    <t>bbl/kg</t>
  </si>
  <si>
    <t>Entrained_H2O/(1-Entrained_H2O)*Volume_oil</t>
  </si>
  <si>
    <t>Crude oil processed in heater treater</t>
  </si>
  <si>
    <t>btu/bbl-F</t>
  </si>
  <si>
    <t>[btu/bbl-F] The specific heat of the crude oil</t>
  </si>
  <si>
    <t>[btu/bbl-F] The specific heat of water</t>
  </si>
  <si>
    <t>MMBtu/kg</t>
  </si>
  <si>
    <t>kWh/kg</t>
  </si>
  <si>
    <t>H2O_rem_eff</t>
  </si>
  <si>
    <t>[dimensionless] The efficiency of the heater treater to remove entrained water</t>
  </si>
  <si>
    <t>water_out</t>
  </si>
  <si>
    <t>kg/kg</t>
  </si>
  <si>
    <t>[L/kg] Liberated water (assumes 1000 kg/m^3 density)</t>
  </si>
  <si>
    <t>mass_in</t>
  </si>
  <si>
    <t>[kg/kg] Mass of water oil mix coming in to the heater treater</t>
  </si>
  <si>
    <t>(Crude_SH*Volume_oil+Water_SH*Volume_water)*(Process_temp-Treat_temp)*(1+Heat_loss)*mass_in/1000000</t>
  </si>
  <si>
    <t>Volume_water*(H2O_rem_eff)/bbl_m3*1000</t>
  </si>
  <si>
    <t>1+water_out</t>
  </si>
  <si>
    <t>Water, from heater-treater [Water]</t>
  </si>
  <si>
    <t>Water treatment</t>
  </si>
  <si>
    <t>[Technosphere] Treatment of produced water</t>
  </si>
  <si>
    <t>MMbtu_to_MJ</t>
  </si>
  <si>
    <t>[MJ/MMBtu] Conversion factor from MMbtu to MJ</t>
  </si>
  <si>
    <t>Gas_heat*NG_fuel*Heat_duty*Hfuel_use*MMbtu_to_MJ</t>
  </si>
  <si>
    <t>Gas_heat*NGL_fuel*Heat_duty*Hfuel_use*MMbtu_to_MJ</t>
  </si>
  <si>
    <t>MJ/kg</t>
  </si>
  <si>
    <t>[MJ/kg] Natural gas fuel required per kg of oil output</t>
  </si>
  <si>
    <t>[MJ/kg] NGL fuel required per kg of oil output</t>
  </si>
  <si>
    <t>MJ</t>
  </si>
  <si>
    <r>
      <t xml:space="preserve">Note: All inputs and outputs are normalized per the reference flow (e.g., per </t>
    </r>
    <r>
      <rPr>
        <b/>
        <sz val="10"/>
        <color indexed="8"/>
        <rFont val="Arial"/>
        <family val="2"/>
      </rPr>
      <t xml:space="preserve">kg </t>
    </r>
    <r>
      <rPr>
        <sz val="10"/>
        <color indexed="8"/>
        <rFont val="Arial"/>
        <family val="2"/>
      </rPr>
      <t>of crude oil processed)</t>
    </r>
  </si>
  <si>
    <t>deg API</t>
  </si>
  <si>
    <t>Calculations Sheet</t>
  </si>
  <si>
    <t>[dimensionless] The volume fraction that is entrained water</t>
  </si>
  <si>
    <t>[1]</t>
  </si>
  <si>
    <t>Includes sample calculations and some parameter values used in the Data Summary</t>
  </si>
  <si>
    <t>[btu/btu] Fuel use required with natural gas or NGL, accounting for losses. Assumes 80% efficiency.</t>
  </si>
  <si>
    <t>[kWh/MMBtu] Fuel use required with electricity, accounting for losses. Assumes 80% efficiency (which may be low).</t>
  </si>
  <si>
    <t>[bbl/bbl] Volume of water entrained in the oil</t>
  </si>
  <si>
    <t>This unit process is composed of this document and the file, DF_Stage1_O_Heater_treater_2013.01.docx, which provides additional details regarding calculations, data quality, and references as relevant.</t>
  </si>
  <si>
    <t>1/Density_oil</t>
  </si>
  <si>
    <t>This unit process provides a summary of relevant input and output flows associated with the use of a heater-treater to remove entrained water after the extraction of crude oil. A heater-treater is used for low API crude oils when gravity separation and emulsion chemicals cannot remove all water from the oil-water stream.</t>
  </si>
  <si>
    <t>dehydrating, crude oil heater treater [Valuable substances]</t>
  </si>
  <si>
    <t>Number of pieces</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</si>
  <si>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</si>
  <si>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</si>
  <si>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</si>
  <si>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</si>
  <si>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</si>
  <si>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</si>
  <si>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</si>
  <si>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</si>
  <si>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</si>
  <si>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</si>
  <si>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</si>
  <si>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</si>
  <si>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</si>
  <si>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</si>
  <si>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</si>
  <si>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</si>
  <si>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</si>
  <si>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</si>
  <si>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</si>
  <si>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</si>
  <si>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</si>
  <si>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</si>
  <si>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</si>
  <si>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</si>
  <si>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</si>
  <si>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</si>
  <si>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</si>
  <si>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</si>
  <si>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</si>
  <si>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</si>
  <si>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</si>
  <si>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</si>
  <si>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</si>
  <si>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</si>
  <si>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</si>
  <si>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</si>
  <si>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</si>
  <si>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</si>
  <si>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</si>
  <si>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</si>
  <si>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</si>
  <si>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</si>
  <si>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</si>
  <si>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</si>
  <si>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</si>
  <si>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</si>
  <si>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</si>
  <si>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</si>
  <si>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</si>
  <si>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</si>
  <si>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</si>
  <si>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</si>
  <si>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</si>
  <si>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</si>
  <si>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</si>
  <si>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</si>
  <si>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</si>
  <si>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</si>
  <si>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</si>
  <si>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</si>
  <si>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</si>
  <si>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</si>
  <si>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</si>
  <si>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</si>
  <si>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</si>
  <si>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</si>
  <si>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</si>
  <si>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</si>
  <si>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</si>
  <si>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</si>
  <si>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</si>
  <si>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</si>
  <si>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</si>
  <si>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</si>
  <si>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</si>
  <si>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</si>
  <si>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</si>
  <si>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</si>
  <si>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</si>
  <si>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</si>
  <si>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</si>
  <si>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</si>
  <si>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</si>
  <si>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</si>
  <si>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</si>
  <si>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</si>
  <si>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</si>
  <si>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</si>
  <si>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</si>
  <si>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</si>
  <si>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</si>
  <si>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</si>
  <si>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</si>
  <si>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</si>
  <si>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</si>
  <si>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</si>
  <si>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</si>
  <si>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</si>
  <si>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</si>
  <si>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</si>
  <si>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</si>
  <si>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</si>
  <si>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</si>
  <si>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</si>
  <si>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</si>
  <si>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</si>
  <si>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</si>
  <si>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</si>
  <si>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</si>
  <si>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</si>
  <si>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</si>
  <si>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</si>
  <si>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</si>
  <si>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</si>
  <si>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</si>
  <si>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</si>
  <si>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</si>
  <si>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</si>
  <si>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</si>
  <si>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</si>
  <si>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</si>
  <si>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</si>
  <si>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</si>
  <si>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</si>
  <si>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</si>
  <si>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</si>
  <si>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</si>
  <si>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</si>
  <si>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</si>
  <si>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</si>
  <si>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</si>
  <si>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</si>
  <si>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</si>
  <si>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</si>
  <si>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</si>
  <si>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</si>
  <si>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</si>
  <si>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</si>
  <si>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</si>
  <si>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use of a heater-treater to remove entrained water after the extraction of crude oil. A heater-treater is used for low API crude oils when gravity separation and emulsion chemicals cannot remove all water from the oil-water stream. The reference flow of this unit process is: 1 kg of Crude oil processed in heater treater</t>
  </si>
  <si>
    <t>GaBi 5 Import</t>
  </si>
  <si>
    <t>Data Summary page formatted for importation into the GaBi 5</t>
  </si>
  <si>
    <t>GaBi 6</t>
  </si>
  <si>
    <t>Electricity [Electric power]</t>
  </si>
  <si>
    <t>LPG, combusted in boiler [Natural gas products]</t>
  </si>
  <si>
    <t>[bbl/kg] Specific volume of oil with water entrained in it</t>
  </si>
  <si>
    <t>[bbl/kg] Volume of water entrained in the oil per kg of crude</t>
  </si>
  <si>
    <t>1.1.1.3   Feed temperature</t>
  </si>
  <si>
    <t>1.1.1.4   Treating temperature</t>
  </si>
  <si>
    <t>1.1.1.5   Specific heat of oil</t>
  </si>
  <si>
    <t>1.1.1.6   Specific heat of water</t>
  </si>
  <si>
    <t>SG</t>
  </si>
  <si>
    <t>kg/L</t>
  </si>
  <si>
    <t>MMBtu/Day</t>
  </si>
  <si>
    <t>kg oil/day</t>
  </si>
  <si>
    <t>kg h2o/day</t>
  </si>
  <si>
    <t>[boolean] Select 1 if natural gas is used in the gas fired heater; 0 if NGLs are used</t>
  </si>
  <si>
    <t>Heater_Type</t>
  </si>
  <si>
    <t>Gas_Fuel_Type</t>
  </si>
  <si>
    <t>IF(Fuel_Type=1 AND Heater_Type=1;Heat_duty*Hfuel_use*MMbtu_to_MJ;0)</t>
  </si>
  <si>
    <t>IF(Fuel_Type=0 AND Heater_Type=1;Heat_duty*Hfuel_use*MMbtu_to_MJ;0)</t>
  </si>
  <si>
    <t>IF(Heater_Type=0;Heat_duty*Efuel_use;0)</t>
  </si>
  <si>
    <t>[boolean] Select 1 if a gas fired heater is used; 0 for electric heater</t>
  </si>
  <si>
    <t>(Crude_SH*Volume_oil+Water_SH*Volume_water)*(Process_temp-Treat_temp)*(1+Heat_loss)/1000000</t>
  </si>
  <si>
    <t>2007 Oil and Gas Industry Survey Results - Final Report</t>
  </si>
  <si>
    <t>Tech. Report</t>
  </si>
  <si>
    <t>Lee, Stephanie</t>
  </si>
  <si>
    <t>2011</t>
  </si>
  <si>
    <t>Air Resource Board (ARB)</t>
  </si>
  <si>
    <t>Lee, Stephanie. (2011). 2007 Oil and Gas Industry Survey Results - Final Report. Air Resources Board (ARB)</t>
  </si>
  <si>
    <t>An emissions based study of California's 2007 oil and gas industry</t>
  </si>
  <si>
    <t>CO2</t>
  </si>
  <si>
    <t>Heater Treater</t>
  </si>
  <si>
    <t>Fugitive Losses</t>
  </si>
  <si>
    <t>N2</t>
  </si>
  <si>
    <t>C1</t>
  </si>
  <si>
    <t>C2</t>
  </si>
  <si>
    <t>C3</t>
  </si>
  <si>
    <t>C4_plus</t>
  </si>
  <si>
    <t>H2S</t>
  </si>
  <si>
    <t>N2_m</t>
  </si>
  <si>
    <t>CO2_m</t>
  </si>
  <si>
    <t>C1_m</t>
  </si>
  <si>
    <t>C2_m</t>
  </si>
  <si>
    <t>C3_m</t>
  </si>
  <si>
    <t>C4_plus_m</t>
  </si>
  <si>
    <t>H2S_m</t>
  </si>
  <si>
    <t>CH4_mass</t>
  </si>
  <si>
    <t>[kg/kg] Mass of fugitive methane per kg of crude produced</t>
  </si>
  <si>
    <t>N2_mass</t>
  </si>
  <si>
    <t>CO2_mass</t>
  </si>
  <si>
    <t>H2S_mass</t>
  </si>
  <si>
    <t>C2H6_mass</t>
  </si>
  <si>
    <t>C3H8_mass</t>
  </si>
  <si>
    <t>C4_plus_mass</t>
  </si>
  <si>
    <t>[kg/kg] kg of nitrogen  per kg of crude produced</t>
  </si>
  <si>
    <t>[kg/kg] kg of carbon dioxide  per kg of crude produced</t>
  </si>
  <si>
    <t>[kg/kg] kg of ethane per kg of crude produced</t>
  </si>
  <si>
    <t>[kg/kg] kg of propane per kg of crude produced</t>
  </si>
  <si>
    <t>[kg/kg] kg of butane and higher hydrocarbons per kg of crude produced</t>
  </si>
  <si>
    <t>[kg/kg] kg of hydrogen sulfide per kg of crude produced</t>
  </si>
  <si>
    <t>[kg/kg] Liberated water (assumes 1000 kg/m^3 density)</t>
  </si>
  <si>
    <t>Life cycle assessment comparison of North American and imported crudes</t>
  </si>
  <si>
    <t>Keesom, W</t>
  </si>
  <si>
    <t>Unnasch, S.
Moretta, J.</t>
  </si>
  <si>
    <t>2009</t>
  </si>
  <si>
    <t>Alberta Energy Research Institute</t>
  </si>
  <si>
    <t>Keesom, W., Unnasch, S., &amp; Moretta, J. (2009). Life cycle assessment comparison of North American and imported crudes: Alberta Energy Research Institute.</t>
  </si>
  <si>
    <t>1,2</t>
  </si>
  <si>
    <t>Thermophysical Properties of Fluid Systems</t>
  </si>
  <si>
    <t>NIST</t>
  </si>
  <si>
    <t>http://webbook.nist.gov/chemistry/fluid/</t>
  </si>
  <si>
    <t>November 18, 2013</t>
  </si>
  <si>
    <t>NIST. (2011). "Thermophysical Properties of Fluid Systems."   Retrieved November 18, 2013, from http://webbook.nist.gov/chemistry/fluid/.</t>
  </si>
  <si>
    <t>HT_mass</t>
  </si>
  <si>
    <t>[kg/kg] kg of associated gas per kg crude produced</t>
  </si>
  <si>
    <t>HT_flow</t>
  </si>
  <si>
    <t>Emission rate</t>
  </si>
  <si>
    <t>Gas composition</t>
  </si>
  <si>
    <t>[kWh/MMBtu] Fuel use required with electricity, accounting for losses. Assumes 98% efficiency.</t>
  </si>
  <si>
    <t xml:space="preserve">  Heater electricy use</t>
  </si>
  <si>
    <t>[Kg/bbl] Conversion of bbl of oil to kg</t>
  </si>
  <si>
    <t>kg/kmol</t>
  </si>
  <si>
    <t>[kg/kmol] kg of nitrogen per mole of associated gas - 28.0134 is the molar mass in kg/kmol</t>
  </si>
  <si>
    <t>[kg/kmol] kg of carbon dioxide per mole of associated gas - 44.01 is the molar mass in kg/kmol</t>
  </si>
  <si>
    <t>[kg/kmol] kg of methane per mole of associated gas - 16.04 is the molar mass in kg/kmol</t>
  </si>
  <si>
    <t>[kg/kmol] kg of ethane per mole of associated gas - 30.07 is the molar mass in kg/kmol</t>
  </si>
  <si>
    <t>[kg/kmol] kg of propane per mole of associated gas - 44.1 is the molar mass in kg/kmol</t>
  </si>
  <si>
    <t>[kg/kmol] kg of hydrogen sulfide per mole of associated gas - 34.0809 is the molar mass in kg/kmol</t>
  </si>
  <si>
    <t>[kg/kmol] kg of C4+ hydrocarbons per mole of associated gas - 95.34 is the molar mass of C4+ from heater treater species in kg/kmol</t>
  </si>
  <si>
    <t>Molar mass of C4+</t>
  </si>
  <si>
    <t>SPECIATE Version 4.3</t>
  </si>
  <si>
    <t>EPA</t>
  </si>
  <si>
    <t>Washington, D.C.</t>
  </si>
  <si>
    <t>Environmental Protection Agency</t>
  </si>
  <si>
    <t>http://www.epa.gov/ttn/chief/software/speciate/index.html#documentation</t>
  </si>
  <si>
    <t>EPA. (2011). SPECIATE Version 4.3. In Environmental Protection Agency (Ed.). Washington, D.C. Retrieved, from http://www.epa.gov/ttn/chief/software/speciate/index.html#documentation</t>
  </si>
  <si>
    <t>An LCA of crude from several fields done by Jacobs and Life Cycle Associates using a model similar to OPGEE. The report gives details such as API, pressure, etc. about each of the fields.</t>
  </si>
  <si>
    <t>California</t>
  </si>
  <si>
    <t xml:space="preserve">98% efficiency for electric boiler from AFUE rating </t>
  </si>
  <si>
    <t>[dimensionless] Mole fraction of nitrogen in associated gas stream</t>
  </si>
  <si>
    <t>[dimensionless] Mole fraction of hydrogen sulfide in associated natural gas stream</t>
  </si>
  <si>
    <t>[dimensionless] Mole fraction of butane and higher hydrocarbons in associated natural gas stream</t>
  </si>
  <si>
    <t>[dimensionless] Mole fraction of propane in associated natural gas stream</t>
  </si>
  <si>
    <t>[dimensionless] Mole fraction of ethane in associated natural gas stream</t>
  </si>
  <si>
    <t>[dimensionless] Mole fraction of methane in associated natural gas stream</t>
  </si>
  <si>
    <t>[dimensionless] Mole fraction of carbon dioxide in associated natural gas stream</t>
  </si>
  <si>
    <t>[Intermediate product] Emissions of associated gas from heater treater</t>
  </si>
  <si>
    <t>Heater treater emissions [Intermediate product]</t>
  </si>
  <si>
    <t>4,5</t>
  </si>
  <si>
    <t>[3]</t>
  </si>
  <si>
    <t>[1],[3]</t>
  </si>
  <si>
    <t>1,3</t>
  </si>
  <si>
    <t>Oil processing, Volume 2: Crude oil</t>
  </si>
  <si>
    <t>Manning, F.S.</t>
  </si>
  <si>
    <t>Thompson, R.</t>
  </si>
  <si>
    <t>1995</t>
  </si>
  <si>
    <t>Tulsa, OK</t>
  </si>
  <si>
    <t>Pennwell</t>
  </si>
  <si>
    <t>Manning, F.S.; Thompson, R 1995. Oil processing, Volume 2: Crude oil; Pennwell: Tulsa, OK</t>
  </si>
  <si>
    <t>HT operations</t>
  </si>
  <si>
    <t>Natural gas, combusted in boiler [Natural gas products]</t>
  </si>
  <si>
    <t>Dehydrating, crude oil heater treater [Valuable substances]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</si>
</sst>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0000"/>
    <numFmt numFmtId="165" formatCode="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0.0%"/>
    <numFmt numFmtId="174" formatCode="0.0"/>
    <numFmt numFmtId="175" formatCode="[$-409]m/d/yy\ h:mm\ AM/PM;@"/>
    <numFmt numFmtId="176" formatCode="0.0000E+00"/>
  </numFmts>
  <fonts count="65"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theme="1"/>
      <name val="Helvetica"/>
    </font>
    <font>
      <sz val="12"/>
      <color theme="1"/>
      <name val="Helvetica"/>
      <family val="2"/>
    </font>
    <font>
      <sz val="10"/>
      <color theme="1"/>
      <name val="Helvetica"/>
      <family val="2"/>
    </font>
    <font>
      <sz val="12"/>
      <color theme="1"/>
      <name val="Helvetica"/>
    </font>
    <font>
      <sz val="10"/>
      <color theme="0"/>
      <name val="Helvetica"/>
    </font>
    <font>
      <sz val="10"/>
      <name val="Helvetica"/>
    </font>
    <font>
      <sz val="11"/>
      <color rgb="FF3F3F76"/>
      <name val="Calibri"/>
      <family val="2"/>
      <scheme val="minor"/>
    </font>
    <font>
      <u/>
      <sz val="12"/>
      <color theme="10"/>
      <name val="Calibri"/>
      <family val="2"/>
      <scheme val="minor"/>
    </font>
    <font>
      <b/>
      <sz val="12"/>
      <color theme="0"/>
      <name val="Helvetica"/>
    </font>
    <font>
      <b/>
      <sz val="16"/>
      <color theme="0"/>
      <name val="Helvetica"/>
    </font>
    <font>
      <b/>
      <sz val="12"/>
      <color theme="5"/>
      <name val="Helvetica"/>
    </font>
    <font>
      <sz val="10"/>
      <color theme="5"/>
      <name val="Helvetica"/>
    </font>
    <font>
      <sz val="8"/>
      <name val="Helv"/>
    </font>
    <font>
      <sz val="11"/>
      <name val="Calibri"/>
      <family val="2"/>
      <scheme val="minor"/>
    </font>
  </fonts>
  <fills count="4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0"/>
      </patternFill>
    </fill>
    <fill>
      <patternFill patternType="solid">
        <fgColor rgb="FFC00000"/>
      </patternFill>
    </fill>
    <fill>
      <patternFill patternType="solid">
        <fgColor rgb="FFFFCC99"/>
      </patternFill>
    </fill>
    <fill>
      <patternFill patternType="solid">
        <fgColor rgb="FFEDE8DD"/>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s>
  <cellStyleXfs count="112">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38" applyNumberFormat="0" applyAlignment="0" applyProtection="0"/>
    <xf numFmtId="0" fontId="35" fillId="35" borderId="39" applyNumberFormat="0" applyAlignment="0" applyProtection="0"/>
    <xf numFmtId="43" fontId="4" fillId="0" borderId="0" applyFont="0" applyFill="0" applyBorder="0" applyAlignment="0" applyProtection="0"/>
    <xf numFmtId="166" fontId="4" fillId="0" borderId="0" applyFont="0" applyFill="0" applyBorder="0" applyAlignment="0" applyProtection="0">
      <alignment wrapText="1"/>
    </xf>
    <xf numFmtId="166" fontId="4" fillId="0" borderId="0" applyFont="0" applyFill="0" applyBorder="0" applyAlignment="0" applyProtection="0">
      <alignment wrapText="1"/>
    </xf>
    <xf numFmtId="167" fontId="24"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0"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38" applyNumberFormat="0" applyAlignment="0" applyProtection="0"/>
    <xf numFmtId="0" fontId="43" fillId="0" borderId="43" applyNumberFormat="0" applyFill="0" applyAlignment="0" applyProtection="0"/>
    <xf numFmtId="0" fontId="44" fillId="36" borderId="0" applyNumberFormat="0" applyBorder="0" applyAlignment="0" applyProtection="0"/>
    <xf numFmtId="0" fontId="4" fillId="0" borderId="0"/>
    <xf numFmtId="0" fontId="4" fillId="37" borderId="44" applyNumberFormat="0" applyFont="0" applyAlignment="0" applyProtection="0"/>
    <xf numFmtId="0" fontId="4" fillId="37" borderId="44" applyNumberFormat="0" applyFont="0" applyAlignment="0" applyProtection="0"/>
    <xf numFmtId="0" fontId="45" fillId="34" borderId="4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46" applyNumberFormat="0" applyProtection="0">
      <alignment horizontal="center" wrapText="1"/>
    </xf>
    <xf numFmtId="0" fontId="6" fillId="38" borderId="47"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48" applyNumberFormat="0">
      <alignment wrapText="1"/>
    </xf>
    <xf numFmtId="0" fontId="4" fillId="40" borderId="48"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8" fontId="4" fillId="0" borderId="0" applyFill="0" applyBorder="0" applyAlignment="0" applyProtection="0">
      <alignment wrapText="1"/>
    </xf>
    <xf numFmtId="168" fontId="4" fillId="0" borderId="0" applyFill="0" applyBorder="0" applyAlignment="0" applyProtection="0">
      <alignmen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1" fontId="47" fillId="0" borderId="0">
      <alignment horizontal="center" vertical="center"/>
    </xf>
    <xf numFmtId="0" fontId="48" fillId="0" borderId="0" applyNumberFormat="0" applyFill="0" applyBorder="0" applyAlignment="0" applyProtection="0"/>
    <xf numFmtId="0" fontId="49" fillId="0" borderId="49" applyNumberFormat="0" applyFill="0" applyAlignment="0" applyProtection="0"/>
    <xf numFmtId="0" fontId="50" fillId="0" borderId="0" applyNumberFormat="0" applyFill="0" applyBorder="0" applyAlignment="0" applyProtection="0"/>
    <xf numFmtId="172" fontId="4" fillId="0" borderId="0">
      <alignment horizontal="center" vertical="center"/>
    </xf>
    <xf numFmtId="172" fontId="4" fillId="0" borderId="0">
      <alignment horizontal="center" vertical="center"/>
    </xf>
    <xf numFmtId="0" fontId="51" fillId="41" borderId="50"/>
    <xf numFmtId="0" fontId="55" fillId="42" borderId="50"/>
    <xf numFmtId="2" fontId="56" fillId="41" borderId="50"/>
    <xf numFmtId="0" fontId="57" fillId="43" borderId="54" applyNumberFormat="0" applyAlignment="0" applyProtection="0"/>
    <xf numFmtId="0" fontId="51" fillId="0" borderId="0"/>
    <xf numFmtId="0" fontId="60" fillId="45" borderId="9"/>
    <xf numFmtId="0" fontId="59" fillId="45" borderId="9"/>
    <xf numFmtId="0" fontId="61" fillId="44" borderId="9"/>
    <xf numFmtId="0" fontId="54" fillId="5" borderId="9"/>
    <xf numFmtId="0" fontId="58" fillId="0" borderId="0" applyNumberFormat="0" applyFill="0" applyBorder="0" applyAlignment="0" applyProtection="0"/>
    <xf numFmtId="174" fontId="62" fillId="46" borderId="50"/>
    <xf numFmtId="0" fontId="62" fillId="41" borderId="50"/>
    <xf numFmtId="9" fontId="51" fillId="0" borderId="0" applyFont="0" applyFill="0" applyBorder="0" applyAlignment="0" applyProtection="0"/>
    <xf numFmtId="0" fontId="63" fillId="0" borderId="0">
      <alignment horizontal="left"/>
    </xf>
  </cellStyleXfs>
  <cellXfs count="42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0" xfId="0" applyFont="1" applyFill="1" applyBorder="1" applyAlignment="1">
      <alignment horizontal="center"/>
    </xf>
    <xf numFmtId="0" fontId="3" fillId="0" borderId="29" xfId="0" applyFont="1" applyBorder="1" applyAlignment="1">
      <alignment horizontal="center"/>
    </xf>
    <xf numFmtId="0" fontId="7" fillId="0" borderId="33" xfId="2" applyFont="1" applyFill="1" applyBorder="1" applyAlignment="1">
      <alignment horizontal="center" wrapText="1"/>
    </xf>
    <xf numFmtId="164" fontId="15" fillId="6" borderId="30" xfId="0" applyNumberFormat="1" applyFont="1" applyFill="1" applyBorder="1"/>
    <xf numFmtId="164" fontId="15" fillId="0" borderId="29" xfId="0" applyNumberFormat="1" applyFont="1" applyFill="1" applyBorder="1"/>
    <xf numFmtId="2" fontId="15" fillId="0" borderId="16" xfId="0" applyNumberFormat="1" applyFont="1" applyFill="1" applyBorder="1"/>
    <xf numFmtId="0" fontId="15" fillId="0" borderId="31" xfId="0" applyFont="1" applyBorder="1" applyProtection="1">
      <protection locked="0"/>
    </xf>
    <xf numFmtId="11" fontId="15" fillId="0" borderId="16" xfId="0" applyNumberFormat="1" applyFont="1" applyFill="1" applyBorder="1"/>
    <xf numFmtId="0" fontId="19" fillId="0" borderId="0" xfId="0" applyFont="1"/>
    <xf numFmtId="0" fontId="0" fillId="0" borderId="10"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36" xfId="2" applyFont="1" applyFill="1" applyBorder="1" applyAlignment="1">
      <alignment horizontal="center"/>
    </xf>
    <xf numFmtId="0" fontId="24" fillId="0" borderId="36" xfId="2" applyFont="1" applyBorder="1" applyAlignment="1">
      <alignment wrapText="1"/>
    </xf>
    <xf numFmtId="0" fontId="25" fillId="0" borderId="36" xfId="2" applyFont="1" applyBorder="1" applyAlignment="1">
      <alignment wrapText="1"/>
    </xf>
    <xf numFmtId="0" fontId="6" fillId="0" borderId="35"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8" fillId="0" borderId="0" xfId="2" applyFont="1" applyFill="1" applyBorder="1"/>
    <xf numFmtId="0" fontId="15" fillId="6" borderId="0" xfId="2" applyFont="1" applyFill="1" applyBorder="1"/>
    <xf numFmtId="0" fontId="29" fillId="0" borderId="0" xfId="2" applyFont="1" applyFill="1" applyBorder="1" applyAlignment="1">
      <alignment horizontal="left"/>
    </xf>
    <xf numFmtId="0" fontId="29" fillId="0" borderId="0" xfId="2" applyFont="1" applyFill="1" applyBorder="1"/>
    <xf numFmtId="0" fontId="28" fillId="0" borderId="22" xfId="2" applyFont="1" applyFill="1" applyBorder="1"/>
    <xf numFmtId="0" fontId="15" fillId="0" borderId="0" xfId="2" applyFont="1" applyFill="1"/>
    <xf numFmtId="0" fontId="30" fillId="0" borderId="0" xfId="2" applyFont="1" applyFill="1"/>
    <xf numFmtId="0" fontId="15" fillId="0" borderId="0" xfId="2" applyFont="1" applyFill="1" applyAlignment="1">
      <alignment horizontal="left"/>
    </xf>
    <xf numFmtId="0" fontId="15" fillId="0" borderId="22" xfId="2" applyFont="1" applyFill="1" applyBorder="1"/>
    <xf numFmtId="0" fontId="29"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29"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0" fontId="21" fillId="0" borderId="0" xfId="3" applyFont="1" applyAlignment="1" applyProtection="1"/>
    <xf numFmtId="0" fontId="4" fillId="0" borderId="10" xfId="2" applyFont="1" applyFill="1" applyBorder="1" applyAlignment="1">
      <alignment horizontal="center" vertical="center" wrapText="1"/>
    </xf>
    <xf numFmtId="0" fontId="53" fillId="5" borderId="50" xfId="0" applyFont="1" applyFill="1" applyBorder="1" applyProtection="1">
      <protection locked="0"/>
    </xf>
    <xf numFmtId="1" fontId="53" fillId="5" borderId="50" xfId="0" applyNumberFormat="1" applyFont="1" applyFill="1" applyBorder="1" applyProtection="1">
      <protection locked="0"/>
    </xf>
    <xf numFmtId="164" fontId="53" fillId="5" borderId="50" xfId="0" applyNumberFormat="1" applyFont="1" applyFill="1" applyBorder="1" applyProtection="1">
      <protection locked="0"/>
    </xf>
    <xf numFmtId="165" fontId="6" fillId="0" borderId="0" xfId="0" applyNumberFormat="1" applyFont="1"/>
    <xf numFmtId="0" fontId="52" fillId="0" borderId="0" xfId="0" applyFont="1" applyProtection="1">
      <protection locked="0"/>
    </xf>
    <xf numFmtId="0" fontId="54" fillId="0" borderId="0" xfId="0" applyFont="1" applyProtection="1">
      <protection locked="0"/>
    </xf>
    <xf numFmtId="0" fontId="55" fillId="42" borderId="51" xfId="99" applyBorder="1" applyProtection="1">
      <protection locked="0"/>
    </xf>
    <xf numFmtId="0" fontId="55" fillId="42" borderId="53" xfId="99" applyBorder="1" applyProtection="1">
      <protection locked="0"/>
    </xf>
    <xf numFmtId="0" fontId="55" fillId="42" borderId="52" xfId="99" applyBorder="1" applyProtection="1">
      <protection locked="0"/>
    </xf>
    <xf numFmtId="0" fontId="55" fillId="42" borderId="50" xfId="99" applyProtection="1">
      <protection locked="0"/>
    </xf>
    <xf numFmtId="0" fontId="56" fillId="0" borderId="51" xfId="99" applyFont="1" applyFill="1" applyBorder="1" applyProtection="1">
      <protection locked="0"/>
    </xf>
    <xf numFmtId="0" fontId="55" fillId="0" borderId="53" xfId="99" applyFill="1" applyBorder="1" applyProtection="1">
      <protection locked="0"/>
    </xf>
    <xf numFmtId="0" fontId="55" fillId="0" borderId="52" xfId="99" applyFill="1" applyBorder="1" applyProtection="1">
      <protection locked="0"/>
    </xf>
    <xf numFmtId="1" fontId="56" fillId="0" borderId="50" xfId="99" applyNumberFormat="1" applyFont="1" applyFill="1" applyProtection="1">
      <protection locked="0"/>
    </xf>
    <xf numFmtId="173" fontId="56" fillId="41" borderId="50" xfId="100" applyNumberFormat="1" applyProtection="1">
      <protection locked="0"/>
    </xf>
    <xf numFmtId="2" fontId="56" fillId="41" borderId="51" xfId="100" applyBorder="1" applyProtection="1">
      <protection locked="0"/>
    </xf>
    <xf numFmtId="2" fontId="56" fillId="41" borderId="53" xfId="100" applyBorder="1" applyProtection="1">
      <protection locked="0"/>
    </xf>
    <xf numFmtId="2" fontId="56" fillId="41" borderId="52" xfId="100" applyBorder="1" applyProtection="1">
      <protection locked="0"/>
    </xf>
    <xf numFmtId="1" fontId="56" fillId="41" borderId="50" xfId="100" applyNumberFormat="1" applyProtection="1">
      <protection locked="0"/>
    </xf>
    <xf numFmtId="1" fontId="55" fillId="42" borderId="50" xfId="99" applyNumberFormat="1" applyProtection="1">
      <protection locked="0"/>
    </xf>
    <xf numFmtId="0" fontId="55" fillId="42" borderId="50" xfId="99" applyNumberFormat="1" applyProtection="1">
      <protection locked="0"/>
    </xf>
    <xf numFmtId="2" fontId="56" fillId="41" borderId="50" xfId="100" applyProtection="1">
      <protection locked="0"/>
    </xf>
    <xf numFmtId="0" fontId="15" fillId="6" borderId="0" xfId="0" applyFont="1" applyFill="1"/>
    <xf numFmtId="174" fontId="15" fillId="6" borderId="0" xfId="0" applyNumberFormat="1" applyFont="1" applyFill="1"/>
    <xf numFmtId="0" fontId="29" fillId="4" borderId="0" xfId="0" applyFont="1" applyFill="1" applyAlignment="1">
      <alignment horizontal="left"/>
    </xf>
    <xf numFmtId="0" fontId="15" fillId="0" borderId="0" xfId="0" applyFont="1" applyAlignment="1">
      <alignment horizontal="left" indent="1"/>
    </xf>
    <xf numFmtId="11" fontId="15" fillId="0" borderId="16" xfId="0" applyNumberFormat="1" applyFont="1" applyBorder="1" applyProtection="1">
      <protection locked="0"/>
    </xf>
    <xf numFmtId="0" fontId="4" fillId="2" borderId="0" xfId="2" applyFill="1" applyAlignment="1"/>
    <xf numFmtId="0" fontId="0" fillId="6" borderId="0" xfId="0" applyFill="1"/>
    <xf numFmtId="0" fontId="57" fillId="43" borderId="54" xfId="101" applyAlignment="1">
      <alignment wrapText="1"/>
    </xf>
    <xf numFmtId="175" fontId="57" fillId="43" borderId="54" xfId="101" applyNumberFormat="1" applyAlignment="1">
      <alignment wrapText="1"/>
    </xf>
    <xf numFmtId="9" fontId="0" fillId="0" borderId="0" xfId="0" applyNumberFormat="1"/>
    <xf numFmtId="0" fontId="57" fillId="43" borderId="54" xfId="101"/>
    <xf numFmtId="10" fontId="57" fillId="43" borderId="54" xfId="101" applyNumberFormat="1"/>
    <xf numFmtId="0" fontId="4" fillId="5" borderId="55" xfId="2" applyFont="1" applyFill="1" applyBorder="1" applyAlignment="1">
      <alignment horizontal="left" vertical="center" wrapText="1"/>
    </xf>
    <xf numFmtId="0" fontId="4" fillId="5" borderId="53" xfId="2" applyFont="1" applyFill="1" applyBorder="1" applyAlignment="1">
      <alignment horizontal="left" vertical="center"/>
    </xf>
    <xf numFmtId="174" fontId="62" fillId="46" borderId="50" xfId="108" applyProtection="1">
      <protection locked="0"/>
    </xf>
    <xf numFmtId="0" fontId="52" fillId="0" borderId="0" xfId="102" applyFont="1" applyFill="1" applyProtection="1">
      <protection locked="0"/>
    </xf>
    <xf numFmtId="0" fontId="52" fillId="0" borderId="0" xfId="102" applyFont="1" applyFill="1" applyBorder="1" applyProtection="1">
      <protection locked="0"/>
    </xf>
    <xf numFmtId="0" fontId="62" fillId="0" borderId="50" xfId="109" applyFill="1" applyProtection="1">
      <protection locked="0"/>
    </xf>
    <xf numFmtId="2" fontId="52" fillId="0" borderId="0" xfId="102" applyNumberFormat="1" applyFont="1" applyFill="1" applyBorder="1" applyProtection="1">
      <protection locked="0"/>
    </xf>
    <xf numFmtId="0" fontId="52" fillId="0" borderId="0" xfId="102" applyFont="1" applyFill="1" applyProtection="1">
      <protection locked="0"/>
    </xf>
    <xf numFmtId="0" fontId="4" fillId="0" borderId="50" xfId="2" applyFont="1" applyBorder="1" applyProtection="1">
      <protection locked="0"/>
    </xf>
    <xf numFmtId="0" fontId="15" fillId="0" borderId="50" xfId="0" applyFont="1" applyFill="1" applyBorder="1" applyAlignment="1">
      <alignment wrapText="1"/>
    </xf>
    <xf numFmtId="11" fontId="15" fillId="0" borderId="50" xfId="0" applyNumberFormat="1" applyFont="1" applyFill="1" applyBorder="1"/>
    <xf numFmtId="0" fontId="15" fillId="0" borderId="50" xfId="0" applyFont="1" applyBorder="1" applyProtection="1">
      <protection locked="0"/>
    </xf>
    <xf numFmtId="0" fontId="15" fillId="0" borderId="50" xfId="0" applyFont="1" applyFill="1" applyBorder="1" applyProtection="1">
      <protection locked="0"/>
    </xf>
    <xf numFmtId="0" fontId="15" fillId="0" borderId="50" xfId="0" applyFont="1" applyBorder="1" applyAlignment="1" applyProtection="1">
      <alignment horizontal="center"/>
      <protection locked="0"/>
    </xf>
    <xf numFmtId="0" fontId="8" fillId="0" borderId="0" xfId="2" applyFont="1" applyFill="1" applyAlignment="1" applyProtection="1">
      <alignment horizontal="left" vertical="top" wrapText="1"/>
      <protection locked="0"/>
    </xf>
    <xf numFmtId="0" fontId="17" fillId="0" borderId="0" xfId="2" applyFont="1" applyFill="1" applyAlignment="1">
      <alignment horizontal="center"/>
    </xf>
    <xf numFmtId="0" fontId="3" fillId="0" borderId="5" xfId="0" applyFont="1" applyBorder="1" applyAlignment="1">
      <alignment horizontal="center"/>
    </xf>
    <xf numFmtId="0" fontId="18" fillId="0" borderId="33" xfId="0" applyFont="1" applyFill="1" applyBorder="1" applyAlignment="1">
      <alignment horizontal="center"/>
    </xf>
    <xf numFmtId="0" fontId="3" fillId="0" borderId="10" xfId="0" applyFont="1" applyBorder="1" applyAlignment="1">
      <alignment horizontal="center"/>
    </xf>
    <xf numFmtId="0" fontId="4" fillId="6" borderId="32" xfId="2" applyFont="1" applyFill="1" applyBorder="1" applyAlignment="1">
      <alignment horizontal="center"/>
    </xf>
    <xf numFmtId="0" fontId="0" fillId="0" borderId="0" xfId="0" applyBorder="1"/>
    <xf numFmtId="164" fontId="15" fillId="6" borderId="30" xfId="0" applyNumberFormat="1" applyFont="1" applyFill="1" applyBorder="1" applyAlignment="1">
      <alignment horizontal="center"/>
    </xf>
    <xf numFmtId="0" fontId="4" fillId="0" borderId="29" xfId="2" applyFont="1" applyBorder="1" applyProtection="1">
      <protection locked="0"/>
    </xf>
    <xf numFmtId="0" fontId="4" fillId="0" borderId="31" xfId="2" applyFont="1" applyBorder="1" applyAlignment="1" applyProtection="1">
      <protection locked="0"/>
    </xf>
    <xf numFmtId="0" fontId="4" fillId="0" borderId="0" xfId="2" applyFont="1" applyBorder="1" applyAlignment="1" applyProtection="1">
      <protection locked="0"/>
    </xf>
    <xf numFmtId="0" fontId="4" fillId="0" borderId="0" xfId="2" applyFont="1" applyBorder="1" applyProtection="1">
      <protection locked="0"/>
    </xf>
    <xf numFmtId="0" fontId="64" fillId="0" borderId="0" xfId="0" applyFont="1"/>
    <xf numFmtId="0" fontId="4" fillId="47" borderId="16" xfId="2" applyFont="1" applyFill="1" applyBorder="1" applyProtection="1">
      <protection locked="0"/>
    </xf>
    <xf numFmtId="0" fontId="15" fillId="47" borderId="16" xfId="0" applyFont="1" applyFill="1" applyBorder="1" applyAlignment="1">
      <alignment wrapText="1"/>
    </xf>
    <xf numFmtId="164" fontId="15" fillId="47" borderId="16" xfId="0" applyNumberFormat="1" applyFont="1" applyFill="1" applyBorder="1"/>
    <xf numFmtId="0" fontId="15" fillId="47" borderId="16" xfId="0" applyFont="1" applyFill="1" applyBorder="1" applyProtection="1">
      <protection locked="0"/>
    </xf>
    <xf numFmtId="0" fontId="15" fillId="47" borderId="16" xfId="0" applyFont="1" applyFill="1" applyBorder="1" applyAlignment="1" applyProtection="1">
      <alignment horizontal="center"/>
      <protection locked="0"/>
    </xf>
    <xf numFmtId="0" fontId="4" fillId="0" borderId="16" xfId="2" applyFont="1" applyFill="1" applyBorder="1" applyProtection="1">
      <protection locked="0"/>
    </xf>
    <xf numFmtId="164" fontId="15" fillId="0" borderId="16" xfId="0" applyNumberFormat="1" applyFont="1" applyFill="1" applyBorder="1"/>
    <xf numFmtId="0" fontId="15" fillId="0" borderId="50" xfId="0" applyFont="1" applyFill="1" applyBorder="1" applyAlignment="1" applyProtection="1">
      <alignment horizontal="center"/>
      <protection locked="0"/>
    </xf>
    <xf numFmtId="0" fontId="15" fillId="0" borderId="16" xfId="0" applyFont="1" applyFill="1" applyBorder="1" applyAlignment="1" applyProtection="1">
      <alignment horizontal="center"/>
      <protection locked="0"/>
    </xf>
    <xf numFmtId="176" fontId="15" fillId="0" borderId="16" xfId="0" applyNumberFormat="1" applyFont="1" applyFill="1" applyBorder="1"/>
    <xf numFmtId="0" fontId="15" fillId="0" borderId="16" xfId="0" applyFont="1" applyFill="1" applyBorder="1" applyAlignment="1" applyProtection="1">
      <alignment vertical="top"/>
      <protection locked="0"/>
    </xf>
    <xf numFmtId="0" fontId="4" fillId="0" borderId="16" xfId="2" applyFill="1" applyBorder="1" applyAlignment="1" applyProtection="1">
      <alignment vertical="top"/>
      <protection locked="0"/>
    </xf>
    <xf numFmtId="11" fontId="15" fillId="10" borderId="16" xfId="0" applyNumberFormat="1" applyFont="1" applyFill="1" applyBorder="1" applyAlignment="1" applyProtection="1">
      <alignment vertical="top"/>
      <protection hidden="1"/>
    </xf>
    <xf numFmtId="0" fontId="4" fillId="0" borderId="16" xfId="2" applyFill="1" applyBorder="1" applyAlignment="1" applyProtection="1">
      <alignment horizontal="center" vertical="top"/>
      <protection locked="0"/>
    </xf>
    <xf numFmtId="0" fontId="4" fillId="5" borderId="16" xfId="2" applyFont="1" applyFill="1" applyBorder="1" applyAlignment="1">
      <alignment horizontal="center"/>
    </xf>
    <xf numFmtId="0" fontId="15" fillId="0" borderId="16" xfId="0" applyFont="1" applyBorder="1" applyAlignment="1" applyProtection="1">
      <alignment horizontal="right"/>
      <protection locked="0"/>
    </xf>
    <xf numFmtId="0" fontId="15" fillId="0" borderId="50" xfId="0" applyFont="1" applyBorder="1" applyAlignment="1" applyProtection="1">
      <alignment horizontal="right"/>
      <protection locked="0"/>
    </xf>
    <xf numFmtId="0" fontId="15" fillId="47" borderId="16" xfId="0" applyFont="1" applyFill="1" applyBorder="1" applyAlignment="1" applyProtection="1">
      <alignment horizontal="right"/>
      <protection locked="0"/>
    </xf>
    <xf numFmtId="0" fontId="15" fillId="0" borderId="16" xfId="0" applyFont="1" applyFill="1" applyBorder="1" applyAlignment="1" applyProtection="1">
      <alignment horizontal="right"/>
      <protection locked="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57" xfId="2" applyFont="1" applyFill="1" applyBorder="1" applyAlignment="1">
      <alignment horizontal="left" vertical="center" wrapText="1"/>
    </xf>
    <xf numFmtId="0" fontId="7" fillId="5" borderId="59"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5" borderId="53"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56" xfId="2" applyFont="1" applyFill="1" applyBorder="1" applyAlignment="1" applyProtection="1">
      <alignment horizontal="left"/>
      <protection locked="0"/>
    </xf>
    <xf numFmtId="0" fontId="4" fillId="0" borderId="57" xfId="2" applyFont="1" applyFill="1" applyBorder="1" applyAlignment="1" applyProtection="1">
      <alignment horizontal="left"/>
      <protection locked="0"/>
    </xf>
    <xf numFmtId="0" fontId="4" fillId="0" borderId="58" xfId="2" applyFont="1" applyFill="1" applyBorder="1" applyAlignment="1" applyProtection="1">
      <alignment horizontal="left"/>
      <protection locked="0"/>
    </xf>
    <xf numFmtId="0" fontId="4" fillId="0" borderId="16" xfId="2" applyFill="1" applyBorder="1" applyAlignment="1"/>
    <xf numFmtId="0" fontId="4" fillId="0" borderId="16" xfId="0" applyFont="1" applyBorder="1" applyAlignment="1" applyProtection="1">
      <alignment horizontal="left" vertical="top" wrapText="1"/>
      <protection locked="0"/>
    </xf>
    <xf numFmtId="0" fontId="4" fillId="0" borderId="51" xfId="2" applyFont="1" applyBorder="1" applyAlignment="1" applyProtection="1">
      <alignment horizontal="left"/>
      <protection locked="0"/>
    </xf>
    <xf numFmtId="0" fontId="4" fillId="0" borderId="53" xfId="2" applyFont="1" applyBorder="1" applyAlignment="1" applyProtection="1">
      <alignment horizontal="left"/>
      <protection locked="0"/>
    </xf>
    <xf numFmtId="0" fontId="4" fillId="0" borderId="52" xfId="2" applyFont="1" applyBorder="1" applyAlignment="1" applyProtection="1">
      <alignment horizontal="left"/>
      <protection locked="0"/>
    </xf>
    <xf numFmtId="0" fontId="4" fillId="47" borderId="56" xfId="2" applyFont="1" applyFill="1" applyBorder="1" applyAlignment="1" applyProtection="1">
      <alignment horizontal="left"/>
      <protection locked="0"/>
    </xf>
    <xf numFmtId="0" fontId="4" fillId="47" borderId="57" xfId="2" applyFont="1" applyFill="1" applyBorder="1" applyAlignment="1" applyProtection="1">
      <alignment horizontal="left"/>
      <protection locked="0"/>
    </xf>
    <xf numFmtId="0" fontId="4" fillId="47" borderId="58" xfId="2" applyFont="1" applyFill="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2" borderId="0" xfId="2" applyFill="1" applyAlignment="1">
      <alignment horizontal="left"/>
    </xf>
    <xf numFmtId="0" fontId="4" fillId="2" borderId="0" xfId="2" applyFill="1" applyAlignment="1"/>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2" borderId="0" xfId="2" applyFill="1" applyAlignment="1">
      <alignment horizontal="center"/>
    </xf>
    <xf numFmtId="0" fontId="0" fillId="0" borderId="10" xfId="0" applyFont="1" applyBorder="1" applyAlignment="1">
      <alignment horizontal="left" vertical="top" wrapText="1"/>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3" fillId="0" borderId="10" xfId="0" applyFont="1" applyBorder="1" applyAlignment="1">
      <alignment horizontal="center"/>
    </xf>
    <xf numFmtId="0" fontId="6" fillId="0" borderId="26" xfId="2" applyFont="1" applyFill="1" applyBorder="1" applyAlignment="1">
      <alignment horizontal="center"/>
    </xf>
    <xf numFmtId="0" fontId="6" fillId="0" borderId="29" xfId="2" applyFont="1" applyFill="1" applyBorder="1" applyAlignment="1">
      <alignment horizontal="center"/>
    </xf>
    <xf numFmtId="0" fontId="17" fillId="0" borderId="0" xfId="2" applyFont="1" applyFill="1" applyAlignment="1">
      <alignment horizontal="center"/>
    </xf>
    <xf numFmtId="0" fontId="6" fillId="0" borderId="28" xfId="2" applyFont="1" applyFill="1" applyBorder="1" applyAlignment="1">
      <alignment horizontal="center"/>
    </xf>
    <xf numFmtId="0" fontId="6" fillId="0" borderId="31"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4" xfId="2" applyFont="1" applyFill="1" applyBorder="1" applyAlignment="1">
      <alignment horizontal="center" wrapText="1"/>
    </xf>
    <xf numFmtId="0" fontId="6" fillId="10" borderId="35"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4" xfId="2" applyFont="1" applyBorder="1" applyAlignment="1">
      <alignment horizontal="center" wrapText="1"/>
    </xf>
    <xf numFmtId="0" fontId="6" fillId="0" borderId="37" xfId="2" applyFont="1" applyBorder="1" applyAlignment="1">
      <alignment horizontal="center" wrapText="1"/>
    </xf>
    <xf numFmtId="0" fontId="6" fillId="0" borderId="35"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53" fillId="5" borderId="51" xfId="0" applyFont="1" applyFill="1" applyBorder="1" applyAlignment="1" applyProtection="1">
      <alignment horizontal="left"/>
      <protection locked="0"/>
    </xf>
    <xf numFmtId="0" fontId="53" fillId="5" borderId="52" xfId="0" applyFont="1" applyFill="1" applyBorder="1" applyAlignment="1" applyProtection="1">
      <alignment horizontal="left"/>
      <protection locked="0"/>
    </xf>
    <xf numFmtId="0" fontId="55" fillId="42" borderId="50" xfId="99" applyProtection="1">
      <protection locked="0"/>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12">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Default_Free" xfId="98"/>
    <cellStyle name="Euro" xfId="46"/>
    <cellStyle name="Explanatory Text 2" xfId="47"/>
    <cellStyle name="GHG First" xfId="104"/>
    <cellStyle name="GHG Second" xfId="105"/>
    <cellStyle name="GHG Third" xfId="106"/>
    <cellStyle name="GHG_Title" xfId="103"/>
    <cellStyle name="Good 2" xfId="48"/>
    <cellStyle name="Heading 1 2" xfId="49"/>
    <cellStyle name="Heading 2 2" xfId="50"/>
    <cellStyle name="Heading 3 2" xfId="51"/>
    <cellStyle name="Heading 4 2" xfId="52"/>
    <cellStyle name="Hyperlink" xfId="3" builtinId="8"/>
    <cellStyle name="Hyperlink 2" xfId="53"/>
    <cellStyle name="Hyperlink 3" xfId="107"/>
    <cellStyle name="Input" xfId="101" builtinId="20"/>
    <cellStyle name="Input 2" xfId="54"/>
    <cellStyle name="Linked Cell 2" xfId="55"/>
    <cellStyle name="Neutral 2" xfId="56"/>
    <cellStyle name="Normal" xfId="0" builtinId="0"/>
    <cellStyle name="Normal 2" xfId="2"/>
    <cellStyle name="Normal 3" xfId="57"/>
    <cellStyle name="Normal 4" xfId="102"/>
    <cellStyle name="Note 2" xfId="58"/>
    <cellStyle name="Note 2 2" xfId="59"/>
    <cellStyle name="Output 2" xfId="60"/>
    <cellStyle name="Percent 2" xfId="61"/>
    <cellStyle name="Percent 2 2" xfId="62"/>
    <cellStyle name="Percent 2 3" xfId="63"/>
    <cellStyle name="Percent 3" xfId="110"/>
    <cellStyle name="Source Text" xfId="111"/>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able_Body" xfId="100"/>
    <cellStyle name="Table_Header" xfId="99"/>
    <cellStyle name="text" xfId="92"/>
    <cellStyle name="Title 2" xfId="93"/>
    <cellStyle name="Total 2" xfId="94"/>
    <cellStyle name="User_Free" xfId="109"/>
    <cellStyle name="User_Locked" xfId="108"/>
    <cellStyle name="Warning Text 2" xfId="95"/>
    <cellStyle name="wissenschaft-Eingabe" xfId="96"/>
    <cellStyle name="wissenschaft-Eingabe 2" xfId="97"/>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38100</xdr:rowOff>
        </xdr:from>
        <xdr:to>
          <xdr:col>3</xdr:col>
          <xdr:colOff>771525</xdr:colOff>
          <xdr:row>16</xdr:row>
          <xdr:rowOff>247650</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16</xdr:row>
          <xdr:rowOff>38100</xdr:rowOff>
        </xdr:from>
        <xdr:to>
          <xdr:col>3</xdr:col>
          <xdr:colOff>1628775</xdr:colOff>
          <xdr:row>16</xdr:row>
          <xdr:rowOff>247650</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1581150</xdr:colOff>
          <xdr:row>16</xdr:row>
          <xdr:rowOff>38100</xdr:rowOff>
        </xdr:from>
        <xdr:to>
          <xdr:col>3</xdr:col>
          <xdr:colOff>2533650</xdr:colOff>
          <xdr:row>16</xdr:row>
          <xdr:rowOff>247650</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2476500</xdr:colOff>
          <xdr:row>16</xdr:row>
          <xdr:rowOff>38100</xdr:rowOff>
        </xdr:from>
        <xdr:to>
          <xdr:col>3</xdr:col>
          <xdr:colOff>3486150</xdr:colOff>
          <xdr:row>16</xdr:row>
          <xdr:rowOff>238125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56</xdr:row>
      <xdr:rowOff>56030</xdr:rowOff>
    </xdr:from>
    <xdr:to>
      <xdr:col>4</xdr:col>
      <xdr:colOff>5740444</xdr:colOff>
      <xdr:row>59</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55046" y="11013590"/>
          <a:ext cx="1932331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114300</xdr:rowOff>
    </xdr:from>
    <xdr:to>
      <xdr:col>19</xdr:col>
      <xdr:colOff>367073</xdr:colOff>
      <xdr:row>34</xdr:row>
      <xdr:rowOff>170189</xdr:rowOff>
    </xdr:to>
    <xdr:grpSp>
      <xdr:nvGrpSpPr>
        <xdr:cNvPr id="41" name="Group 40">
          <a:extLst>
            <a:ext uri="{FF2B5EF4-FFF2-40B4-BE49-F238E27FC236}">
              <a16:creationId xmlns:a16="http://schemas.microsoft.com/office/drawing/2014/main" id="{00000000-0008-0000-0800-000029000000}"/>
            </a:ext>
          </a:extLst>
        </xdr:cNvPr>
        <xdr:cNvGrpSpPr/>
      </xdr:nvGrpSpPr>
      <xdr:grpSpPr>
        <a:xfrm>
          <a:off x="0" y="304800"/>
          <a:ext cx="12001180" cy="6342389"/>
          <a:chOff x="0" y="304800"/>
          <a:chExt cx="12001180" cy="6342389"/>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0" y="304800"/>
            <a:ext cx="12001180" cy="6342389"/>
            <a:chOff x="0" y="304800"/>
            <a:chExt cx="7246321" cy="3829539"/>
          </a:xfrm>
        </xdr:grpSpPr>
        <xdr:grpSp>
          <xdr:nvGrpSpPr>
            <xdr:cNvPr id="2" name="Legend">
              <a:extLst>
                <a:ext uri="{FF2B5EF4-FFF2-40B4-BE49-F238E27FC236}">
                  <a16:creationId xmlns:a16="http://schemas.microsoft.com/office/drawing/2014/main" id="{00000000-0008-0000-0800-000002000000}"/>
                </a:ext>
              </a:extLst>
            </xdr:cNvPr>
            <xdr:cNvGrpSpPr/>
          </xdr:nvGrpSpPr>
          <xdr:grpSpPr>
            <a:xfrm>
              <a:off x="0" y="3352801"/>
              <a:ext cx="1382715" cy="742981"/>
              <a:chOff x="7457181" y="3134295"/>
              <a:chExt cx="1382715" cy="71218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399159" cy="162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073356" cy="162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Upstream Emissions</a:t>
                </a:r>
                <a:r>
                  <a:rPr lang="en-US" sz="1200" baseline="0"/>
                  <a:t> Data</a:t>
                </a:r>
                <a:endParaRPr lang="en-US" sz="12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241316" cy="153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Crude oil processed in heater treater</a:t>
              </a:r>
              <a:endParaRPr lang="en-US" sz="12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8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800-00000D000000}"/>
                </a:ext>
              </a:extLst>
            </xdr:cNvPr>
            <xdr:cNvSpPr/>
          </xdr:nvSpPr>
          <xdr:spPr>
            <a:xfrm>
              <a:off x="0" y="38658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Heat, natural gas, external combustion</a:t>
              </a:r>
            </a:p>
          </xdr:txBody>
        </xdr:sp>
        <xdr:cxnSp macro="">
          <xdr:nvCxnSpPr>
            <xdr:cNvPr id="14" name="Straight Arrow Connector 1">
              <a:extLst>
                <a:ext uri="{FF2B5EF4-FFF2-40B4-BE49-F238E27FC236}">
                  <a16:creationId xmlns:a16="http://schemas.microsoft.com/office/drawing/2014/main" id="{00000000-0008-0000-0800-00000E000000}"/>
                </a:ext>
              </a:extLst>
            </xdr:cNvPr>
            <xdr:cNvCxnSpPr>
              <a:stCxn id="13" idx="2"/>
              <a:endCxn id="12" idx="1"/>
            </xdr:cNvCxnSpPr>
          </xdr:nvCxnSpPr>
          <xdr:spPr>
            <a:xfrm flipV="1">
              <a:off x="1403144" y="656844"/>
              <a:ext cx="2166463"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800-000010000000}"/>
                </a:ext>
              </a:extLst>
            </xdr:cNvPr>
            <xdr:cNvSpPr/>
          </xdr:nvSpPr>
          <xdr:spPr>
            <a:xfrm>
              <a:off x="1725931" y="852412"/>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Heat, natural gas liquids, external combustion</a:t>
              </a:r>
            </a:p>
          </xdr:txBody>
        </xdr:sp>
        <xdr:cxnSp macro="">
          <xdr:nvCxnSpPr>
            <xdr:cNvPr id="17" name="Straight Arrow Connector 2">
              <a:extLst>
                <a:ext uri="{FF2B5EF4-FFF2-40B4-BE49-F238E27FC236}">
                  <a16:creationId xmlns:a16="http://schemas.microsoft.com/office/drawing/2014/main" id="{00000000-0008-0000-0800-000011000000}"/>
                </a:ext>
              </a:extLst>
            </xdr:cNvPr>
            <xdr:cNvCxnSpPr>
              <a:stCxn id="16" idx="2"/>
              <a:endCxn id="15" idx="1"/>
            </xdr:cNvCxnSpPr>
          </xdr:nvCxnSpPr>
          <xdr:spPr>
            <a:xfrm>
              <a:off x="3131796" y="1200982"/>
              <a:ext cx="437811" cy="15995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Upstream Emssion Data 3">
              <a:extLst>
                <a:ext uri="{FF2B5EF4-FFF2-40B4-BE49-F238E27FC236}">
                  <a16:creationId xmlns:a16="http://schemas.microsoft.com/office/drawing/2014/main" id="{00000000-0008-0000-0800-000013000000}"/>
                </a:ext>
              </a:extLst>
            </xdr:cNvPr>
            <xdr:cNvSpPr/>
          </xdr:nvSpPr>
          <xdr:spPr>
            <a:xfrm>
              <a:off x="0" y="137574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Heat, electricity</a:t>
              </a:r>
            </a:p>
          </xdr:txBody>
        </xdr:sp>
        <xdr:cxnSp macro="">
          <xdr:nvCxnSpPr>
            <xdr:cNvPr id="20" name="Straight Arrow Connector 3">
              <a:extLst>
                <a:ext uri="{FF2B5EF4-FFF2-40B4-BE49-F238E27FC236}">
                  <a16:creationId xmlns:a16="http://schemas.microsoft.com/office/drawing/2014/main" id="{00000000-0008-0000-0800-000014000000}"/>
                </a:ext>
              </a:extLst>
            </xdr:cNvPr>
            <xdr:cNvCxnSpPr>
              <a:stCxn id="19" idx="2"/>
              <a:endCxn id="8" idx="1"/>
            </xdr:cNvCxnSpPr>
          </xdr:nvCxnSpPr>
          <xdr:spPr>
            <a:xfrm>
              <a:off x="1403144" y="1724317"/>
              <a:ext cx="2166463" cy="5083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4" name="Boundary Group">
              <a:extLst>
                <a:ext uri="{FF2B5EF4-FFF2-40B4-BE49-F238E27FC236}">
                  <a16:creationId xmlns:a16="http://schemas.microsoft.com/office/drawing/2014/main" id="{00000000-0008-0000-0800-000018000000}"/>
                </a:ext>
              </a:extLst>
            </xdr:cNvPr>
            <xdr:cNvGrpSpPr/>
          </xdr:nvGrpSpPr>
          <xdr:grpSpPr>
            <a:xfrm>
              <a:off x="3569607" y="304800"/>
              <a:ext cx="3676714" cy="2940708"/>
              <a:chOff x="3556000" y="304800"/>
              <a:chExt cx="3660385"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Heater treater: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ysClr val="windowText" lastClr="000000"/>
                    </a:solidFill>
                    <a:latin typeface="Arial" pitchFamily="34" charset="0"/>
                    <a:cs typeface="Arial" pitchFamily="34" charset="0"/>
                  </a:rPr>
                  <a:t>The use of a heater-treater to remove water from produced oil.</a:t>
                </a:r>
              </a:p>
            </xdr:txBody>
          </xdr:sp>
          <xdr:sp macro="" textlink="">
            <xdr:nvSpPr>
              <xdr:cNvPr id="12" name="Link 1">
                <a:extLst>
                  <a:ext uri="{FF2B5EF4-FFF2-40B4-BE49-F238E27FC236}">
                    <a16:creationId xmlns:a16="http://schemas.microsoft.com/office/drawing/2014/main" id="{00000000-0008-0000-0800-00000C000000}"/>
                  </a:ext>
                </a:extLst>
              </xdr:cNvPr>
              <xdr:cNvSpPr/>
            </xdr:nvSpPr>
            <xdr:spPr>
              <a:xfrm>
                <a:off x="3556000" y="304800"/>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2">
                <a:extLst>
                  <a:ext uri="{FF2B5EF4-FFF2-40B4-BE49-F238E27FC236}">
                    <a16:creationId xmlns:a16="http://schemas.microsoft.com/office/drawing/2014/main" id="{00000000-0008-0000-0800-00000F000000}"/>
                  </a:ext>
                </a:extLst>
              </xdr:cNvPr>
              <xdr:cNvSpPr/>
            </xdr:nvSpPr>
            <xdr:spPr>
              <a:xfrm>
                <a:off x="3556000" y="1008888"/>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3">
                <a:extLst>
                  <a:ext uri="{FF2B5EF4-FFF2-40B4-BE49-F238E27FC236}">
                    <a16:creationId xmlns:a16="http://schemas.microsoft.com/office/drawing/2014/main" id="{00000000-0008-0000-0800-000012000000}"/>
                  </a:ext>
                </a:extLst>
              </xdr:cNvPr>
              <xdr:cNvSpPr/>
            </xdr:nvSpPr>
            <xdr:spPr>
              <a:xfrm>
                <a:off x="3556000" y="1712976"/>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4">
                <a:extLst>
                  <a:ext uri="{FF2B5EF4-FFF2-40B4-BE49-F238E27FC236}">
                    <a16:creationId xmlns:a16="http://schemas.microsoft.com/office/drawing/2014/main" id="{00000000-0008-0000-0800-000015000000}"/>
                  </a:ext>
                </a:extLst>
              </xdr:cNvPr>
              <xdr:cNvSpPr/>
            </xdr:nvSpPr>
            <xdr:spPr>
              <a:xfrm>
                <a:off x="3556000" y="2417064"/>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2" name="Upstream Emssion Data 4">
              <a:extLst>
                <a:ext uri="{FF2B5EF4-FFF2-40B4-BE49-F238E27FC236}">
                  <a16:creationId xmlns:a16="http://schemas.microsoft.com/office/drawing/2014/main" id="{00000000-0008-0000-0800-000016000000}"/>
                </a:ext>
              </a:extLst>
            </xdr:cNvPr>
            <xdr:cNvSpPr/>
          </xdr:nvSpPr>
          <xdr:spPr>
            <a:xfrm>
              <a:off x="1709499" y="1899084"/>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Water treatment</a:t>
              </a:r>
            </a:p>
          </xdr:txBody>
        </xdr:sp>
        <xdr:cxnSp macro="">
          <xdr:nvCxnSpPr>
            <xdr:cNvPr id="23" name="Straight Arrow Connector 4">
              <a:extLst>
                <a:ext uri="{FF2B5EF4-FFF2-40B4-BE49-F238E27FC236}">
                  <a16:creationId xmlns:a16="http://schemas.microsoft.com/office/drawing/2014/main" id="{00000000-0008-0000-0800-000017000000}"/>
                </a:ext>
              </a:extLst>
            </xdr:cNvPr>
            <xdr:cNvCxnSpPr>
              <a:stCxn id="22" idx="2"/>
            </xdr:cNvCxnSpPr>
          </xdr:nvCxnSpPr>
          <xdr:spPr>
            <a:xfrm>
              <a:off x="3115364" y="2247653"/>
              <a:ext cx="466813" cy="32969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sp macro="" textlink="">
        <xdr:nvSpPr>
          <xdr:cNvPr id="30" name="Upstream Emssion Data 4">
            <a:extLst>
              <a:ext uri="{FF2B5EF4-FFF2-40B4-BE49-F238E27FC236}">
                <a16:creationId xmlns:a16="http://schemas.microsoft.com/office/drawing/2014/main" id="{00000000-0008-0000-0800-00001E000000}"/>
              </a:ext>
            </a:extLst>
          </xdr:cNvPr>
          <xdr:cNvSpPr/>
        </xdr:nvSpPr>
        <xdr:spPr>
          <a:xfrm>
            <a:off x="95250" y="3665764"/>
            <a:ext cx="2627171" cy="1154583"/>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a:solidFill>
                  <a:schemeClr val="tx1"/>
                </a:solidFill>
                <a:latin typeface="Arial" pitchFamily="34" charset="0"/>
                <a:cs typeface="Arial" pitchFamily="34" charset="0"/>
              </a:rPr>
              <a:t>Associated</a:t>
            </a:r>
            <a:r>
              <a:rPr lang="en-US" sz="1200" baseline="0">
                <a:solidFill>
                  <a:schemeClr val="tx1"/>
                </a:solidFill>
                <a:latin typeface="Arial" pitchFamily="34" charset="0"/>
                <a:cs typeface="Arial" pitchFamily="34" charset="0"/>
              </a:rPr>
              <a:t> gas emissions</a:t>
            </a:r>
            <a:endParaRPr lang="en-US" sz="1200">
              <a:solidFill>
                <a:schemeClr val="tx1"/>
              </a:solidFill>
              <a:latin typeface="Arial" pitchFamily="34" charset="0"/>
              <a:cs typeface="Arial" pitchFamily="34" charset="0"/>
            </a:endParaRPr>
          </a:p>
        </xdr:txBody>
      </xdr:sp>
      <xdr:cxnSp macro="">
        <xdr:nvCxnSpPr>
          <xdr:cNvPr id="39" name="Straight Arrow Connector 4">
            <a:extLst>
              <a:ext uri="{FF2B5EF4-FFF2-40B4-BE49-F238E27FC236}">
                <a16:creationId xmlns:a16="http://schemas.microsoft.com/office/drawing/2014/main" id="{00000000-0008-0000-0800-000027000000}"/>
              </a:ext>
            </a:extLst>
          </xdr:cNvPr>
          <xdr:cNvCxnSpPr/>
        </xdr:nvCxnSpPr>
        <xdr:spPr>
          <a:xfrm>
            <a:off x="2394857" y="4278086"/>
            <a:ext cx="3524250" cy="68852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O21" sqref="O2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13" t="s">
        <v>0</v>
      </c>
      <c r="B1" s="313"/>
      <c r="C1" s="313"/>
      <c r="D1" s="313"/>
      <c r="E1" s="313"/>
      <c r="F1" s="313"/>
      <c r="G1" s="313"/>
      <c r="H1" s="313"/>
      <c r="I1" s="313"/>
      <c r="J1" s="313"/>
      <c r="K1" s="313"/>
      <c r="L1" s="313"/>
      <c r="M1" s="313"/>
      <c r="N1" s="313"/>
      <c r="O1" s="1"/>
    </row>
    <row r="2" spans="1:27" ht="21" thickBot="1" x14ac:dyDescent="0.35">
      <c r="A2" s="313" t="s">
        <v>1</v>
      </c>
      <c r="B2" s="313"/>
      <c r="C2" s="313"/>
      <c r="D2" s="313"/>
      <c r="E2" s="313"/>
      <c r="F2" s="313"/>
      <c r="G2" s="313"/>
      <c r="H2" s="313"/>
      <c r="I2" s="313"/>
      <c r="J2" s="313"/>
      <c r="K2" s="313"/>
      <c r="L2" s="313"/>
      <c r="M2" s="313"/>
      <c r="N2" s="313"/>
      <c r="O2" s="1"/>
    </row>
    <row r="3" spans="1:27" ht="12.75" customHeight="1" thickBot="1" x14ac:dyDescent="0.25">
      <c r="B3" s="2"/>
      <c r="C3" s="4" t="s">
        <v>2</v>
      </c>
      <c r="D3" s="5" t="str">
        <f>'Data Summary'!D4</f>
        <v>Heater treater</v>
      </c>
      <c r="E3" s="6"/>
      <c r="F3" s="6"/>
      <c r="G3" s="6"/>
      <c r="H3" s="6"/>
      <c r="I3" s="6"/>
      <c r="J3" s="6"/>
      <c r="K3" s="6"/>
      <c r="L3" s="6"/>
      <c r="M3" s="7"/>
      <c r="N3" s="2"/>
      <c r="O3" s="2"/>
    </row>
    <row r="4" spans="1:27" ht="42.75" customHeight="1" thickBot="1" x14ac:dyDescent="0.25">
      <c r="B4" s="2"/>
      <c r="C4" s="4" t="s">
        <v>3</v>
      </c>
      <c r="D4" s="314" t="str">
        <f>'Data Summary'!D6</f>
        <v>The use of a heater-treater to remove water from produced oil.</v>
      </c>
      <c r="E4" s="315"/>
      <c r="F4" s="315"/>
      <c r="G4" s="315"/>
      <c r="H4" s="315"/>
      <c r="I4" s="315"/>
      <c r="J4" s="315"/>
      <c r="K4" s="315"/>
      <c r="L4" s="315"/>
      <c r="M4" s="316"/>
      <c r="N4" s="2"/>
      <c r="O4" s="2"/>
    </row>
    <row r="5" spans="1:27" ht="39" customHeight="1" thickBot="1" x14ac:dyDescent="0.25">
      <c r="B5" s="2"/>
      <c r="C5" s="4" t="s">
        <v>4</v>
      </c>
      <c r="D5" s="317" t="s">
        <v>456</v>
      </c>
      <c r="E5" s="318"/>
      <c r="F5" s="318"/>
      <c r="G5" s="318"/>
      <c r="H5" s="318"/>
      <c r="I5" s="318"/>
      <c r="J5" s="318"/>
      <c r="K5" s="318"/>
      <c r="L5" s="318"/>
      <c r="M5" s="319"/>
      <c r="N5" s="2"/>
      <c r="O5" s="2"/>
    </row>
    <row r="6" spans="1:27" ht="56.25" customHeight="1" thickBot="1" x14ac:dyDescent="0.25">
      <c r="B6" s="2"/>
      <c r="C6" s="8" t="s">
        <v>5</v>
      </c>
      <c r="D6" s="317" t="s">
        <v>6</v>
      </c>
      <c r="E6" s="318"/>
      <c r="F6" s="318"/>
      <c r="G6" s="318"/>
      <c r="H6" s="318"/>
      <c r="I6" s="318"/>
      <c r="J6" s="318"/>
      <c r="K6" s="318"/>
      <c r="L6" s="318"/>
      <c r="M6" s="31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20" t="s">
        <v>10</v>
      </c>
      <c r="C9" s="10" t="s">
        <v>11</v>
      </c>
      <c r="D9" s="322" t="s">
        <v>12</v>
      </c>
      <c r="E9" s="322"/>
      <c r="F9" s="322"/>
      <c r="G9" s="322"/>
      <c r="H9" s="322"/>
      <c r="I9" s="322"/>
      <c r="J9" s="322"/>
      <c r="K9" s="322"/>
      <c r="L9" s="322"/>
      <c r="M9" s="323"/>
      <c r="N9" s="2"/>
      <c r="O9" s="2"/>
      <c r="P9" s="2"/>
      <c r="Q9" s="2"/>
      <c r="R9" s="2"/>
      <c r="S9" s="2"/>
      <c r="T9" s="2"/>
      <c r="U9" s="2"/>
      <c r="V9" s="2"/>
      <c r="W9" s="2"/>
      <c r="X9" s="2"/>
      <c r="Y9" s="2"/>
      <c r="Z9" s="2"/>
      <c r="AA9" s="2"/>
    </row>
    <row r="10" spans="1:27" s="11" customFormat="1" ht="15" customHeight="1" x14ac:dyDescent="0.2">
      <c r="A10" s="2"/>
      <c r="B10" s="321"/>
      <c r="C10" s="12" t="s">
        <v>13</v>
      </c>
      <c r="D10" s="324" t="s">
        <v>14</v>
      </c>
      <c r="E10" s="324"/>
      <c r="F10" s="324"/>
      <c r="G10" s="324"/>
      <c r="H10" s="324"/>
      <c r="I10" s="324"/>
      <c r="J10" s="324"/>
      <c r="K10" s="324"/>
      <c r="L10" s="324"/>
      <c r="M10" s="325"/>
      <c r="N10" s="2"/>
      <c r="O10" s="2"/>
      <c r="P10" s="2"/>
      <c r="Q10" s="2"/>
      <c r="R10" s="2"/>
      <c r="S10" s="2"/>
      <c r="T10" s="2"/>
      <c r="U10" s="2"/>
      <c r="V10" s="2"/>
      <c r="W10" s="2"/>
      <c r="X10" s="2"/>
      <c r="Y10" s="2"/>
      <c r="Z10" s="2"/>
      <c r="AA10" s="2"/>
    </row>
    <row r="11" spans="1:27" s="11" customFormat="1" ht="15" customHeight="1" x14ac:dyDescent="0.2">
      <c r="A11" s="2"/>
      <c r="B11" s="321"/>
      <c r="C11" s="12" t="s">
        <v>15</v>
      </c>
      <c r="D11" s="324" t="s">
        <v>16</v>
      </c>
      <c r="E11" s="324"/>
      <c r="F11" s="324"/>
      <c r="G11" s="324"/>
      <c r="H11" s="324"/>
      <c r="I11" s="324"/>
      <c r="J11" s="324"/>
      <c r="K11" s="324"/>
      <c r="L11" s="324"/>
      <c r="M11" s="325"/>
      <c r="N11" s="2"/>
      <c r="O11" s="2"/>
      <c r="P11" s="2"/>
      <c r="Q11" s="2"/>
      <c r="R11" s="2"/>
      <c r="S11" s="2"/>
      <c r="T11" s="2"/>
      <c r="U11" s="2"/>
      <c r="V11" s="2"/>
      <c r="W11" s="2"/>
      <c r="X11" s="2"/>
      <c r="Y11" s="2"/>
      <c r="Z11" s="2"/>
      <c r="AA11" s="2"/>
    </row>
    <row r="12" spans="1:27" s="11" customFormat="1" ht="15" customHeight="1" x14ac:dyDescent="0.2">
      <c r="A12" s="2"/>
      <c r="B12" s="321"/>
      <c r="C12" s="12" t="s">
        <v>17</v>
      </c>
      <c r="D12" s="324" t="s">
        <v>18</v>
      </c>
      <c r="E12" s="324"/>
      <c r="F12" s="324"/>
      <c r="G12" s="324"/>
      <c r="H12" s="324"/>
      <c r="I12" s="324"/>
      <c r="J12" s="324"/>
      <c r="K12" s="324"/>
      <c r="L12" s="324"/>
      <c r="M12" s="325"/>
      <c r="N12" s="2"/>
      <c r="O12" s="2"/>
      <c r="P12" s="2"/>
      <c r="Q12" s="2"/>
      <c r="R12" s="2"/>
      <c r="S12" s="2"/>
      <c r="T12" s="2"/>
      <c r="U12" s="2"/>
      <c r="V12" s="2"/>
      <c r="W12" s="2"/>
      <c r="X12" s="2"/>
      <c r="Y12" s="2"/>
      <c r="Z12" s="2"/>
      <c r="AA12" s="2"/>
    </row>
    <row r="13" spans="1:27" ht="15" customHeight="1" x14ac:dyDescent="0.2">
      <c r="B13" s="304" t="s">
        <v>19</v>
      </c>
      <c r="C13" s="13" t="s">
        <v>449</v>
      </c>
      <c r="D13" s="306" t="s">
        <v>452</v>
      </c>
      <c r="E13" s="306"/>
      <c r="F13" s="306"/>
      <c r="G13" s="306"/>
      <c r="H13" s="306"/>
      <c r="I13" s="306"/>
      <c r="J13" s="306"/>
      <c r="K13" s="306"/>
      <c r="L13" s="306"/>
      <c r="M13" s="307"/>
      <c r="N13" s="2"/>
      <c r="O13" s="2"/>
    </row>
    <row r="14" spans="1:27" ht="15" customHeight="1" x14ac:dyDescent="0.2">
      <c r="B14" s="304"/>
      <c r="C14" s="14" t="s">
        <v>20</v>
      </c>
      <c r="D14" s="308" t="s">
        <v>21</v>
      </c>
      <c r="E14" s="308"/>
      <c r="F14" s="308"/>
      <c r="G14" s="308"/>
      <c r="H14" s="308"/>
      <c r="I14" s="308"/>
      <c r="J14" s="308"/>
      <c r="K14" s="308"/>
      <c r="L14" s="308"/>
      <c r="M14" s="309"/>
      <c r="N14" s="2"/>
      <c r="O14" s="2"/>
    </row>
    <row r="15" spans="1:27" ht="15" customHeight="1" x14ac:dyDescent="0.2">
      <c r="B15" s="304"/>
      <c r="C15" s="15" t="s">
        <v>22</v>
      </c>
      <c r="D15" s="308" t="s">
        <v>22</v>
      </c>
      <c r="E15" s="308"/>
      <c r="F15" s="308"/>
      <c r="G15" s="308"/>
      <c r="H15" s="308"/>
      <c r="I15" s="308"/>
      <c r="J15" s="308"/>
      <c r="K15" s="308"/>
      <c r="L15" s="308"/>
      <c r="M15" s="309"/>
      <c r="N15" s="2"/>
      <c r="O15" s="2"/>
    </row>
    <row r="16" spans="1:27" ht="15" customHeight="1" x14ac:dyDescent="0.2">
      <c r="B16" s="304"/>
      <c r="C16" s="257" t="s">
        <v>601</v>
      </c>
      <c r="D16" s="312" t="s">
        <v>602</v>
      </c>
      <c r="E16" s="312"/>
      <c r="F16" s="312"/>
      <c r="G16" s="312"/>
      <c r="H16" s="312"/>
      <c r="I16" s="312"/>
      <c r="J16" s="312"/>
      <c r="K16" s="312"/>
      <c r="L16" s="312"/>
      <c r="M16" s="256"/>
      <c r="N16" s="2"/>
      <c r="O16" s="2"/>
    </row>
    <row r="17" spans="2:16" ht="15" customHeight="1" thickBot="1" x14ac:dyDescent="0.25">
      <c r="B17" s="305"/>
      <c r="C17" s="16"/>
      <c r="D17" s="310"/>
      <c r="E17" s="310"/>
      <c r="F17" s="310"/>
      <c r="G17" s="310"/>
      <c r="H17" s="310"/>
      <c r="I17" s="310"/>
      <c r="J17" s="310"/>
      <c r="K17" s="310"/>
      <c r="L17" s="310"/>
      <c r="M17" s="311"/>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7">
        <v>41484</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8" t="s">
        <v>25</v>
      </c>
      <c r="D22" s="9"/>
      <c r="E22" s="9"/>
      <c r="F22" s="9"/>
      <c r="G22" s="9"/>
      <c r="H22" s="9"/>
      <c r="I22" s="9"/>
      <c r="J22" s="9"/>
      <c r="K22" s="9"/>
      <c r="L22" s="9"/>
      <c r="M22" s="9"/>
      <c r="N22" s="2"/>
      <c r="O22" s="2"/>
    </row>
    <row r="23" spans="2:16" x14ac:dyDescent="0.2">
      <c r="B23" s="9" t="s">
        <v>26</v>
      </c>
      <c r="C23" s="18"/>
      <c r="D23" s="9"/>
      <c r="E23" s="9"/>
      <c r="F23" s="9"/>
      <c r="G23" s="9"/>
      <c r="H23" s="9"/>
      <c r="I23" s="9"/>
      <c r="J23" s="9"/>
      <c r="K23" s="9"/>
      <c r="L23" s="9"/>
      <c r="M23" s="9"/>
      <c r="N23" s="2"/>
      <c r="O23" s="2"/>
    </row>
    <row r="24" spans="2:16" x14ac:dyDescent="0.2">
      <c r="B24" s="9"/>
      <c r="C24" s="18"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302"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Heater treater. U.S. Department of Energy, National Energy Technology Laboratory. Last Updated: July 2013 (version 01). www.netl.doe.gov/LCA (http://www.netl.doe.gov/LCA)</v>
      </c>
      <c r="D26" s="302"/>
      <c r="E26" s="302"/>
      <c r="F26" s="302"/>
      <c r="G26" s="302"/>
      <c r="H26" s="302"/>
      <c r="I26" s="302"/>
      <c r="J26" s="302"/>
      <c r="K26" s="302"/>
      <c r="L26" s="302"/>
      <c r="M26" s="302"/>
      <c r="N26" s="2"/>
      <c r="O26" s="2"/>
    </row>
    <row r="27" spans="2:16" x14ac:dyDescent="0.2">
      <c r="B27" s="9" t="s">
        <v>29</v>
      </c>
      <c r="C27" s="9"/>
      <c r="D27" s="9"/>
      <c r="E27" s="9"/>
      <c r="F27" s="9"/>
      <c r="G27" s="18"/>
      <c r="H27" s="18"/>
      <c r="I27" s="18"/>
      <c r="J27" s="18"/>
      <c r="K27" s="18"/>
      <c r="L27" s="18"/>
      <c r="M27" s="18"/>
      <c r="N27" s="2"/>
      <c r="O27" s="2"/>
    </row>
    <row r="28" spans="2:16" x14ac:dyDescent="0.2">
      <c r="B28" s="18"/>
      <c r="C28" s="18" t="s">
        <v>30</v>
      </c>
      <c r="D28" s="18"/>
      <c r="E28" s="19" t="s">
        <v>31</v>
      </c>
      <c r="F28" s="20"/>
      <c r="G28" s="18" t="s">
        <v>32</v>
      </c>
      <c r="H28" s="18"/>
      <c r="I28" s="18"/>
      <c r="J28" s="18"/>
      <c r="K28" s="18"/>
      <c r="L28" s="18"/>
      <c r="M28" s="18"/>
      <c r="N28" s="2"/>
      <c r="O28" s="2"/>
      <c r="P28" s="18"/>
    </row>
    <row r="29" spans="2:16" x14ac:dyDescent="0.2">
      <c r="B29" s="18"/>
      <c r="C29" s="18" t="s">
        <v>33</v>
      </c>
      <c r="D29" s="18"/>
      <c r="E29" s="18"/>
      <c r="F29" s="18"/>
      <c r="G29" s="18"/>
      <c r="H29" s="18"/>
      <c r="I29" s="18"/>
      <c r="J29" s="18"/>
      <c r="K29" s="18"/>
      <c r="L29" s="18"/>
      <c r="M29" s="18"/>
      <c r="N29" s="2"/>
      <c r="O29" s="2"/>
      <c r="P29" s="18"/>
    </row>
    <row r="30" spans="2:16" x14ac:dyDescent="0.2">
      <c r="B30" s="18"/>
      <c r="C30" s="18" t="s">
        <v>34</v>
      </c>
      <c r="D30" s="18"/>
      <c r="E30" s="18"/>
      <c r="F30" s="18"/>
      <c r="G30" s="18"/>
      <c r="H30" s="18"/>
      <c r="I30" s="18"/>
      <c r="J30" s="18"/>
      <c r="K30" s="18"/>
      <c r="L30" s="18"/>
      <c r="M30" s="18"/>
      <c r="N30" s="18"/>
      <c r="O30" s="18"/>
      <c r="P30" s="18"/>
    </row>
    <row r="31" spans="2:16" x14ac:dyDescent="0.2">
      <c r="B31" s="18"/>
      <c r="C31" s="303" t="s">
        <v>35</v>
      </c>
      <c r="D31" s="303"/>
      <c r="E31" s="303"/>
      <c r="F31" s="303"/>
      <c r="G31" s="303"/>
      <c r="H31" s="303"/>
      <c r="I31" s="303"/>
      <c r="J31" s="303"/>
      <c r="K31" s="303"/>
      <c r="L31" s="303"/>
      <c r="M31" s="303"/>
      <c r="N31" s="18"/>
      <c r="O31" s="18"/>
      <c r="P31" s="18"/>
    </row>
    <row r="32" spans="2:16" x14ac:dyDescent="0.2">
      <c r="B32" s="18"/>
      <c r="C32" s="18"/>
      <c r="D32" s="18"/>
      <c r="E32" s="18"/>
      <c r="F32" s="18"/>
      <c r="G32" s="18"/>
      <c r="H32" s="18"/>
      <c r="I32" s="18"/>
      <c r="J32" s="18"/>
      <c r="K32" s="18"/>
      <c r="L32" s="18"/>
      <c r="M32" s="18"/>
      <c r="N32" s="18"/>
      <c r="O32" s="18"/>
    </row>
    <row r="33" spans="2:15" x14ac:dyDescent="0.2">
      <c r="B33" s="9" t="s">
        <v>36</v>
      </c>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18"/>
      <c r="C48" s="18"/>
      <c r="D48" s="18"/>
      <c r="E48" s="18"/>
      <c r="F48" s="18"/>
      <c r="G48" s="18"/>
      <c r="H48" s="18"/>
      <c r="I48" s="18"/>
      <c r="J48" s="18"/>
      <c r="K48" s="18"/>
      <c r="L48" s="18"/>
      <c r="M48" s="18"/>
      <c r="N48" s="18"/>
      <c r="O48" s="18"/>
    </row>
    <row r="49" spans="2:15" x14ac:dyDescent="0.2">
      <c r="B49" s="9" t="s">
        <v>37</v>
      </c>
      <c r="C49" s="18"/>
      <c r="D49" s="18"/>
      <c r="E49" s="18"/>
      <c r="F49" s="18"/>
      <c r="G49" s="18"/>
      <c r="H49" s="18"/>
      <c r="I49" s="18"/>
      <c r="J49" s="18"/>
      <c r="K49" s="18"/>
      <c r="L49" s="18"/>
      <c r="M49" s="18"/>
      <c r="N49" s="18"/>
      <c r="O49" s="18"/>
    </row>
    <row r="50" spans="2:15" x14ac:dyDescent="0.2">
      <c r="B50" s="18"/>
      <c r="C50" s="21" t="s">
        <v>38</v>
      </c>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8"/>
  <sheetViews>
    <sheetView topLeftCell="A28" workbookViewId="0">
      <selection activeCell="F54" sqref="F54"/>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50" t="s">
        <v>603</v>
      </c>
    </row>
    <row r="2" spans="1:6" x14ac:dyDescent="0.25">
      <c r="A2" t="s">
        <v>461</v>
      </c>
      <c r="C2" t="s">
        <v>462</v>
      </c>
      <c r="D2" t="s">
        <v>463</v>
      </c>
    </row>
    <row r="3" spans="1:6" x14ac:dyDescent="0.25">
      <c r="A3" t="s">
        <v>464</v>
      </c>
      <c r="C3" s="251" t="s">
        <v>372</v>
      </c>
      <c r="E3" t="s">
        <v>465</v>
      </c>
      <c r="F3" s="252">
        <v>41579.378009259257</v>
      </c>
    </row>
    <row r="4" spans="1:6" x14ac:dyDescent="0.25">
      <c r="A4" t="s">
        <v>466</v>
      </c>
    </row>
    <row r="5" spans="1:6" x14ac:dyDescent="0.25">
      <c r="A5" t="s">
        <v>467</v>
      </c>
    </row>
    <row r="6" spans="1:6" x14ac:dyDescent="0.25">
      <c r="A6" t="s">
        <v>468</v>
      </c>
    </row>
    <row r="7" spans="1:6" x14ac:dyDescent="0.25">
      <c r="A7" t="s">
        <v>469</v>
      </c>
    </row>
    <row r="8" spans="1:6" x14ac:dyDescent="0.25">
      <c r="A8" t="s">
        <v>470</v>
      </c>
    </row>
    <row r="9" spans="1:6" x14ac:dyDescent="0.25">
      <c r="A9" t="s">
        <v>471</v>
      </c>
    </row>
    <row r="10" spans="1:6" x14ac:dyDescent="0.25">
      <c r="A10" t="s">
        <v>472</v>
      </c>
    </row>
    <row r="12" spans="1:6" x14ac:dyDescent="0.25">
      <c r="A12" t="s">
        <v>473</v>
      </c>
    </row>
    <row r="14" spans="1:6" x14ac:dyDescent="0.25">
      <c r="A14" t="s">
        <v>474</v>
      </c>
    </row>
    <row r="15" spans="1:6" x14ac:dyDescent="0.25">
      <c r="A15" t="s">
        <v>475</v>
      </c>
    </row>
    <row r="16" spans="1:6" ht="30" x14ac:dyDescent="0.25">
      <c r="A16" s="251" t="s">
        <v>373</v>
      </c>
    </row>
    <row r="17" spans="1:4" ht="150" x14ac:dyDescent="0.25">
      <c r="A17" s="251" t="s">
        <v>600</v>
      </c>
    </row>
    <row r="18" spans="1:4" x14ac:dyDescent="0.25">
      <c r="A18" t="s">
        <v>476</v>
      </c>
    </row>
    <row r="19" spans="1:4" x14ac:dyDescent="0.25">
      <c r="A19" t="s">
        <v>477</v>
      </c>
      <c r="B19" t="s">
        <v>478</v>
      </c>
    </row>
    <row r="20" spans="1:4" x14ac:dyDescent="0.25">
      <c r="A20" t="s">
        <v>478</v>
      </c>
    </row>
    <row r="22" spans="1:4" x14ac:dyDescent="0.25">
      <c r="A22" t="s">
        <v>479</v>
      </c>
    </row>
    <row r="24" spans="1:4" x14ac:dyDescent="0.25">
      <c r="A24" t="s">
        <v>480</v>
      </c>
    </row>
    <row r="25" spans="1:4" x14ac:dyDescent="0.25">
      <c r="A25" t="s">
        <v>481</v>
      </c>
      <c r="B25" s="251" t="s">
        <v>387</v>
      </c>
      <c r="C25" t="s">
        <v>482</v>
      </c>
      <c r="D25">
        <v>0</v>
      </c>
    </row>
    <row r="26" spans="1:4" x14ac:dyDescent="0.25">
      <c r="A26" t="s">
        <v>480</v>
      </c>
    </row>
    <row r="27" spans="1:4" x14ac:dyDescent="0.25">
      <c r="A27" t="s">
        <v>483</v>
      </c>
    </row>
    <row r="28" spans="1:4" x14ac:dyDescent="0.25">
      <c r="A28" t="s">
        <v>484</v>
      </c>
    </row>
    <row r="29" spans="1:4" x14ac:dyDescent="0.25">
      <c r="A29" t="s">
        <v>485</v>
      </c>
    </row>
    <row r="30" spans="1:4" x14ac:dyDescent="0.25">
      <c r="A30" t="s">
        <v>486</v>
      </c>
    </row>
    <row r="31" spans="1:4" x14ac:dyDescent="0.25">
      <c r="A31" s="251" t="s">
        <v>386</v>
      </c>
    </row>
    <row r="32" spans="1:4" x14ac:dyDescent="0.25">
      <c r="A32" s="251" t="s">
        <v>387</v>
      </c>
    </row>
    <row r="33" spans="1:2" x14ac:dyDescent="0.25">
      <c r="A33" t="s">
        <v>487</v>
      </c>
    </row>
    <row r="34" spans="1:2" x14ac:dyDescent="0.25">
      <c r="A34" t="s">
        <v>488</v>
      </c>
    </row>
    <row r="36" spans="1:2" x14ac:dyDescent="0.25">
      <c r="A36" t="s">
        <v>489</v>
      </c>
    </row>
    <row r="38" spans="1:2" x14ac:dyDescent="0.25">
      <c r="A38" t="s">
        <v>490</v>
      </c>
    </row>
    <row r="40" spans="1:2" x14ac:dyDescent="0.25">
      <c r="A40" t="s">
        <v>491</v>
      </c>
      <c r="B40" t="s">
        <v>492</v>
      </c>
    </row>
    <row r="41" spans="1:2" x14ac:dyDescent="0.25">
      <c r="A41" t="s">
        <v>493</v>
      </c>
    </row>
    <row r="43" spans="1:2" x14ac:dyDescent="0.25">
      <c r="A43" t="s">
        <v>494</v>
      </c>
    </row>
    <row r="44" spans="1:2" x14ac:dyDescent="0.25">
      <c r="A44" t="s">
        <v>495</v>
      </c>
    </row>
    <row r="46" spans="1:2" x14ac:dyDescent="0.25">
      <c r="A46" t="s">
        <v>496</v>
      </c>
    </row>
    <row r="47" spans="1:2" x14ac:dyDescent="0.25">
      <c r="A47" t="s">
        <v>497</v>
      </c>
    </row>
    <row r="48" spans="1:2" x14ac:dyDescent="0.25">
      <c r="A48" t="s">
        <v>498</v>
      </c>
    </row>
    <row r="49" spans="1:1" x14ac:dyDescent="0.25">
      <c r="A49" s="250" t="s">
        <v>499</v>
      </c>
    </row>
    <row r="50" spans="1:1" x14ac:dyDescent="0.25">
      <c r="A50" s="251" t="s">
        <v>111</v>
      </c>
    </row>
    <row r="51" spans="1:1" x14ac:dyDescent="0.25">
      <c r="A51" s="251" t="s">
        <v>99</v>
      </c>
    </row>
    <row r="52" spans="1:1" x14ac:dyDescent="0.25">
      <c r="A52" t="s">
        <v>500</v>
      </c>
    </row>
    <row r="53" spans="1:1" x14ac:dyDescent="0.25">
      <c r="A53" s="250" t="s">
        <v>501</v>
      </c>
    </row>
    <row r="55" spans="1:1" x14ac:dyDescent="0.25">
      <c r="A55" s="250" t="s">
        <v>502</v>
      </c>
    </row>
    <row r="57" spans="1:1" x14ac:dyDescent="0.25">
      <c r="A57" s="250" t="s">
        <v>503</v>
      </c>
    </row>
    <row r="59" spans="1:1" x14ac:dyDescent="0.25">
      <c r="A59" t="s">
        <v>504</v>
      </c>
    </row>
    <row r="61" spans="1:1" x14ac:dyDescent="0.25">
      <c r="A61" t="s">
        <v>505</v>
      </c>
    </row>
    <row r="62" spans="1:1" x14ac:dyDescent="0.25">
      <c r="A62" t="s">
        <v>506</v>
      </c>
    </row>
    <row r="64" spans="1:1" x14ac:dyDescent="0.25">
      <c r="A64" t="s">
        <v>507</v>
      </c>
    </row>
    <row r="66" spans="1:3" x14ac:dyDescent="0.25">
      <c r="A66" t="s">
        <v>508</v>
      </c>
    </row>
    <row r="68" spans="1:3" x14ac:dyDescent="0.25">
      <c r="A68" t="s">
        <v>509</v>
      </c>
    </row>
    <row r="70" spans="1:3" x14ac:dyDescent="0.25">
      <c r="A70" t="s">
        <v>510</v>
      </c>
    </row>
    <row r="72" spans="1:3" x14ac:dyDescent="0.25">
      <c r="A72" t="s">
        <v>511</v>
      </c>
    </row>
    <row r="74" spans="1:3" x14ac:dyDescent="0.25">
      <c r="A74" t="s">
        <v>512</v>
      </c>
    </row>
    <row r="76" spans="1:3" x14ac:dyDescent="0.25">
      <c r="A76" t="s">
        <v>513</v>
      </c>
    </row>
    <row r="78" spans="1:3" x14ac:dyDescent="0.25">
      <c r="A78" t="s">
        <v>514</v>
      </c>
      <c r="B78" s="253">
        <v>0</v>
      </c>
      <c r="C78" t="s">
        <v>515</v>
      </c>
    </row>
    <row r="80" spans="1:3" x14ac:dyDescent="0.25">
      <c r="A80" t="s">
        <v>516</v>
      </c>
    </row>
    <row r="82" spans="1:6" x14ac:dyDescent="0.25">
      <c r="A82" t="s">
        <v>517</v>
      </c>
    </row>
    <row r="84" spans="1:6" x14ac:dyDescent="0.25">
      <c r="A84" t="s">
        <v>518</v>
      </c>
    </row>
    <row r="86" spans="1:6" x14ac:dyDescent="0.25">
      <c r="A86" t="s">
        <v>519</v>
      </c>
    </row>
    <row r="88" spans="1:6" x14ac:dyDescent="0.25">
      <c r="A88" t="s">
        <v>87</v>
      </c>
    </row>
    <row r="89" spans="1:6" x14ac:dyDescent="0.25">
      <c r="A89" t="s">
        <v>520</v>
      </c>
    </row>
    <row r="91" spans="1:6" x14ac:dyDescent="0.25">
      <c r="A91" t="s">
        <v>521</v>
      </c>
    </row>
    <row r="92" spans="1:6" x14ac:dyDescent="0.25">
      <c r="A92" t="s">
        <v>522</v>
      </c>
    </row>
    <row r="94" spans="1:6" x14ac:dyDescent="0.25">
      <c r="A94" t="s">
        <v>523</v>
      </c>
    </row>
    <row r="95" spans="1:6" x14ac:dyDescent="0.25">
      <c r="A95" t="s">
        <v>524</v>
      </c>
      <c r="B95" t="s">
        <v>525</v>
      </c>
      <c r="C95" t="s">
        <v>526</v>
      </c>
      <c r="D95" t="s">
        <v>527</v>
      </c>
      <c r="E95" t="s">
        <v>528</v>
      </c>
      <c r="F95" t="s">
        <v>529</v>
      </c>
    </row>
    <row r="96" spans="1:6" x14ac:dyDescent="0.25">
      <c r="A96" t="s">
        <v>530</v>
      </c>
    </row>
    <row r="97" spans="1:1" x14ac:dyDescent="0.25">
      <c r="A97" t="s">
        <v>531</v>
      </c>
    </row>
    <row r="98" spans="1:1" x14ac:dyDescent="0.25">
      <c r="A98" t="s">
        <v>532</v>
      </c>
    </row>
    <row r="100" spans="1:1" x14ac:dyDescent="0.25">
      <c r="A100" t="s">
        <v>533</v>
      </c>
    </row>
    <row r="102" spans="1:1" x14ac:dyDescent="0.25">
      <c r="A102" t="s">
        <v>534</v>
      </c>
    </row>
    <row r="104" spans="1:1" x14ac:dyDescent="0.25">
      <c r="A104" s="250" t="s">
        <v>535</v>
      </c>
    </row>
    <row r="105" spans="1:1" x14ac:dyDescent="0.25">
      <c r="A105" s="250" t="s">
        <v>535</v>
      </c>
    </row>
    <row r="107" spans="1:1" x14ac:dyDescent="0.25">
      <c r="A107" t="s">
        <v>536</v>
      </c>
    </row>
    <row r="108" spans="1:1" x14ac:dyDescent="0.25">
      <c r="A108" t="s">
        <v>536</v>
      </c>
    </row>
    <row r="109" spans="1:1" x14ac:dyDescent="0.25">
      <c r="A109" s="250" t="s">
        <v>537</v>
      </c>
    </row>
    <row r="110" spans="1:1" x14ac:dyDescent="0.25">
      <c r="A110" t="s">
        <v>538</v>
      </c>
    </row>
    <row r="112" spans="1:1" x14ac:dyDescent="0.25">
      <c r="A112" t="s">
        <v>539</v>
      </c>
    </row>
    <row r="113" spans="1:10" x14ac:dyDescent="0.25">
      <c r="A113" t="s">
        <v>540</v>
      </c>
      <c r="B113" t="s">
        <v>541</v>
      </c>
    </row>
    <row r="114" spans="1:10" x14ac:dyDescent="0.25">
      <c r="A114" s="250" t="s">
        <v>542</v>
      </c>
    </row>
    <row r="115" spans="1:10" x14ac:dyDescent="0.25">
      <c r="A115" t="s">
        <v>543</v>
      </c>
    </row>
    <row r="116" spans="1:10" x14ac:dyDescent="0.25">
      <c r="A116" t="s">
        <v>544</v>
      </c>
    </row>
    <row r="117" spans="1:10" x14ac:dyDescent="0.25">
      <c r="A117" t="s">
        <v>545</v>
      </c>
    </row>
    <row r="119" spans="1:10" x14ac:dyDescent="0.25">
      <c r="A119" t="s">
        <v>134</v>
      </c>
      <c r="B119" t="s">
        <v>364</v>
      </c>
    </row>
    <row r="120" spans="1:10" x14ac:dyDescent="0.25">
      <c r="A120" t="s">
        <v>546</v>
      </c>
      <c r="B120" s="250" t="s">
        <v>547</v>
      </c>
    </row>
    <row r="121" spans="1:10" x14ac:dyDescent="0.25">
      <c r="A121" t="s">
        <v>548</v>
      </c>
    </row>
    <row r="123" spans="1:10" x14ac:dyDescent="0.25">
      <c r="A123" t="s">
        <v>549</v>
      </c>
    </row>
    <row r="124" spans="1:10" x14ac:dyDescent="0.25">
      <c r="A124" t="s">
        <v>70</v>
      </c>
    </row>
    <row r="125" spans="1:10" x14ac:dyDescent="0.25">
      <c r="A125" t="s">
        <v>70</v>
      </c>
      <c r="B125" t="s">
        <v>59</v>
      </c>
      <c r="C125" t="s">
        <v>60</v>
      </c>
      <c r="D125" t="s">
        <v>550</v>
      </c>
      <c r="E125" t="s">
        <v>551</v>
      </c>
      <c r="F125" t="s">
        <v>552</v>
      </c>
      <c r="G125" t="s">
        <v>553</v>
      </c>
    </row>
    <row r="126" spans="1:10" x14ac:dyDescent="0.25">
      <c r="A126" s="254" t="s">
        <v>405</v>
      </c>
      <c r="B126" s="254"/>
      <c r="C126" s="254">
        <v>30</v>
      </c>
      <c r="D126" s="254">
        <v>10</v>
      </c>
      <c r="E126" s="254">
        <v>45</v>
      </c>
      <c r="F126" s="255">
        <v>0</v>
      </c>
      <c r="G126" s="254" t="s">
        <v>407</v>
      </c>
      <c r="H126" s="254"/>
      <c r="I126" s="254"/>
      <c r="J126" s="254"/>
    </row>
    <row r="127" spans="1:10" x14ac:dyDescent="0.25">
      <c r="A127" s="254" t="s">
        <v>408</v>
      </c>
      <c r="B127" s="254" t="s">
        <v>409</v>
      </c>
      <c r="C127" s="254">
        <v>0.87616099071207432</v>
      </c>
      <c r="D127" s="254"/>
      <c r="E127" s="254"/>
      <c r="F127" s="255">
        <v>0</v>
      </c>
      <c r="G127" s="254" t="s">
        <v>410</v>
      </c>
      <c r="H127" s="254"/>
      <c r="I127" s="254"/>
      <c r="J127" s="254"/>
    </row>
    <row r="128" spans="1:10" x14ac:dyDescent="0.25">
      <c r="A128" s="254" t="s">
        <v>411</v>
      </c>
      <c r="B128" s="254"/>
      <c r="C128" s="254">
        <v>6.2898107704321058</v>
      </c>
      <c r="D128" s="254"/>
      <c r="E128" s="254"/>
      <c r="F128" s="255">
        <v>0</v>
      </c>
      <c r="G128" s="254" t="s">
        <v>413</v>
      </c>
      <c r="H128" s="254"/>
      <c r="I128" s="254"/>
      <c r="J128" s="254"/>
    </row>
    <row r="129" spans="1:10" x14ac:dyDescent="0.25">
      <c r="A129" s="254" t="s">
        <v>414</v>
      </c>
      <c r="B129" s="254" t="s">
        <v>415</v>
      </c>
      <c r="C129" s="254">
        <v>139.29846583474921</v>
      </c>
      <c r="D129" s="254"/>
      <c r="E129" s="254"/>
      <c r="F129" s="255">
        <v>0</v>
      </c>
      <c r="G129" s="254" t="s">
        <v>417</v>
      </c>
      <c r="H129" s="254"/>
      <c r="I129" s="254"/>
      <c r="J129" s="254"/>
    </row>
    <row r="130" spans="1:10" x14ac:dyDescent="0.25">
      <c r="A130" s="254" t="s">
        <v>377</v>
      </c>
      <c r="B130" s="254"/>
      <c r="C130" s="254">
        <v>0.14000000000000001</v>
      </c>
      <c r="D130" s="254"/>
      <c r="E130" s="254"/>
      <c r="F130" s="255">
        <v>0</v>
      </c>
      <c r="G130" s="254" t="s">
        <v>450</v>
      </c>
      <c r="H130" s="254"/>
      <c r="I130" s="254"/>
      <c r="J130" s="254"/>
    </row>
    <row r="131" spans="1:10" x14ac:dyDescent="0.25">
      <c r="A131" s="254" t="s">
        <v>347</v>
      </c>
      <c r="B131" s="254"/>
      <c r="C131" s="254">
        <v>90</v>
      </c>
      <c r="D131" s="254"/>
      <c r="E131" s="254"/>
      <c r="F131" s="255">
        <v>0</v>
      </c>
      <c r="G131" s="254" t="s">
        <v>393</v>
      </c>
      <c r="H131" s="254"/>
      <c r="I131" s="254"/>
      <c r="J131" s="254"/>
    </row>
    <row r="132" spans="1:10" x14ac:dyDescent="0.25">
      <c r="A132" s="254" t="s">
        <v>381</v>
      </c>
      <c r="B132" s="254"/>
      <c r="C132" s="254">
        <v>165</v>
      </c>
      <c r="D132" s="254"/>
      <c r="E132" s="254"/>
      <c r="F132" s="255">
        <v>0</v>
      </c>
      <c r="G132" s="254" t="s">
        <v>394</v>
      </c>
      <c r="H132" s="254"/>
      <c r="I132" s="254"/>
      <c r="J132" s="254"/>
    </row>
    <row r="133" spans="1:10" x14ac:dyDescent="0.25">
      <c r="A133" s="254" t="s">
        <v>348</v>
      </c>
      <c r="B133" s="254"/>
      <c r="C133" s="254">
        <v>150</v>
      </c>
      <c r="D133" s="254"/>
      <c r="E133" s="254"/>
      <c r="F133" s="255">
        <v>0</v>
      </c>
      <c r="G133" s="254" t="s">
        <v>422</v>
      </c>
      <c r="H133" s="254"/>
      <c r="I133" s="254"/>
      <c r="J133" s="254"/>
    </row>
    <row r="134" spans="1:10" x14ac:dyDescent="0.25">
      <c r="A134" s="254" t="s">
        <v>378</v>
      </c>
      <c r="B134" s="254"/>
      <c r="C134" s="254">
        <v>350</v>
      </c>
      <c r="D134" s="254"/>
      <c r="E134" s="254"/>
      <c r="F134" s="255">
        <v>0</v>
      </c>
      <c r="G134" s="254" t="s">
        <v>423</v>
      </c>
      <c r="H134" s="254"/>
      <c r="I134" s="254"/>
      <c r="J134" s="254"/>
    </row>
    <row r="135" spans="1:10" x14ac:dyDescent="0.25">
      <c r="A135" s="254" t="s">
        <v>349</v>
      </c>
      <c r="B135" s="254"/>
      <c r="C135" s="254">
        <v>0.02</v>
      </c>
      <c r="D135" s="254"/>
      <c r="E135" s="254"/>
      <c r="F135" s="255">
        <v>0</v>
      </c>
      <c r="G135" s="254" t="s">
        <v>395</v>
      </c>
      <c r="H135" s="254"/>
      <c r="I135" s="254"/>
      <c r="J135" s="254"/>
    </row>
    <row r="136" spans="1:10" x14ac:dyDescent="0.25">
      <c r="A136" s="254" t="s">
        <v>351</v>
      </c>
      <c r="B136" s="254"/>
      <c r="C136" s="254">
        <v>1.25</v>
      </c>
      <c r="D136" s="254"/>
      <c r="E136" s="254"/>
      <c r="F136" s="255">
        <v>0</v>
      </c>
      <c r="G136" s="254" t="s">
        <v>453</v>
      </c>
      <c r="H136" s="254"/>
      <c r="I136" s="254"/>
      <c r="J136" s="254"/>
    </row>
    <row r="137" spans="1:10" x14ac:dyDescent="0.25">
      <c r="A137" s="254" t="s">
        <v>352</v>
      </c>
      <c r="B137" s="254"/>
      <c r="C137" s="254">
        <v>366.33680555555554</v>
      </c>
      <c r="D137" s="254"/>
      <c r="E137" s="254"/>
      <c r="F137" s="255">
        <v>0</v>
      </c>
      <c r="G137" s="254" t="s">
        <v>454</v>
      </c>
      <c r="H137" s="254"/>
      <c r="I137" s="254"/>
      <c r="J137" s="254"/>
    </row>
    <row r="138" spans="1:10" x14ac:dyDescent="0.25">
      <c r="A138" s="254" t="s">
        <v>379</v>
      </c>
      <c r="B138" s="254" t="s">
        <v>419</v>
      </c>
      <c r="C138" s="254">
        <v>1.1686467377719609E-3</v>
      </c>
      <c r="D138" s="254"/>
      <c r="E138" s="254"/>
      <c r="F138" s="255">
        <v>0</v>
      </c>
      <c r="G138" s="254" t="s">
        <v>455</v>
      </c>
      <c r="H138" s="254"/>
      <c r="I138" s="254"/>
      <c r="J138" s="254"/>
    </row>
    <row r="139" spans="1:10" x14ac:dyDescent="0.25">
      <c r="A139" s="254" t="s">
        <v>380</v>
      </c>
      <c r="B139" s="254" t="s">
        <v>457</v>
      </c>
      <c r="C139" s="254">
        <v>7.1788299605991882E-3</v>
      </c>
      <c r="D139" s="254"/>
      <c r="E139" s="254"/>
      <c r="F139" s="255">
        <v>0</v>
      </c>
      <c r="G139" s="254" t="s">
        <v>396</v>
      </c>
      <c r="H139" s="254"/>
      <c r="I139" s="254"/>
      <c r="J139" s="254"/>
    </row>
    <row r="140" spans="1:10" x14ac:dyDescent="0.25">
      <c r="A140" s="254" t="s">
        <v>353</v>
      </c>
      <c r="B140" s="254"/>
      <c r="C140" s="254">
        <v>1</v>
      </c>
      <c r="D140" s="254"/>
      <c r="E140" s="254"/>
      <c r="F140" s="255">
        <v>0</v>
      </c>
      <c r="G140" s="254" t="s">
        <v>397</v>
      </c>
      <c r="H140" s="254"/>
      <c r="I140" s="254"/>
      <c r="J140" s="254"/>
    </row>
    <row r="141" spans="1:10" x14ac:dyDescent="0.25">
      <c r="A141" s="254" t="s">
        <v>354</v>
      </c>
      <c r="B141" s="254"/>
      <c r="C141" s="254">
        <v>0</v>
      </c>
      <c r="D141" s="254"/>
      <c r="E141" s="254"/>
      <c r="F141" s="255">
        <v>0</v>
      </c>
      <c r="G141" s="254" t="s">
        <v>398</v>
      </c>
      <c r="H141" s="254"/>
      <c r="I141" s="254"/>
      <c r="J141" s="254"/>
    </row>
    <row r="142" spans="1:10" x14ac:dyDescent="0.25">
      <c r="A142" s="254" t="s">
        <v>355</v>
      </c>
      <c r="B142" s="254"/>
      <c r="C142" s="254">
        <v>1</v>
      </c>
      <c r="D142" s="254"/>
      <c r="E142" s="254"/>
      <c r="F142" s="255">
        <v>0</v>
      </c>
      <c r="G142" s="254" t="s">
        <v>399</v>
      </c>
      <c r="H142" s="254"/>
      <c r="I142" s="254"/>
      <c r="J142" s="254"/>
    </row>
    <row r="143" spans="1:10" x14ac:dyDescent="0.25">
      <c r="A143" s="254" t="s">
        <v>356</v>
      </c>
      <c r="B143" s="254"/>
      <c r="C143" s="254">
        <v>0</v>
      </c>
      <c r="D143" s="254"/>
      <c r="E143" s="254"/>
      <c r="F143" s="255">
        <v>0</v>
      </c>
      <c r="G143" s="254" t="s">
        <v>400</v>
      </c>
      <c r="H143" s="254"/>
      <c r="I143" s="254"/>
      <c r="J143" s="254"/>
    </row>
    <row r="144" spans="1:10" x14ac:dyDescent="0.25">
      <c r="A144" s="254" t="s">
        <v>357</v>
      </c>
      <c r="B144" s="254" t="s">
        <v>433</v>
      </c>
      <c r="C144" s="254">
        <v>1.3478702659304947E-4</v>
      </c>
      <c r="D144" s="254"/>
      <c r="E144" s="254"/>
      <c r="F144" s="255">
        <v>0</v>
      </c>
      <c r="G144" s="254" t="s">
        <v>401</v>
      </c>
      <c r="H144" s="254"/>
      <c r="I144" s="254"/>
      <c r="J144" s="254"/>
    </row>
    <row r="145" spans="1:10" x14ac:dyDescent="0.25">
      <c r="A145" s="254" t="s">
        <v>439</v>
      </c>
      <c r="B145" s="254"/>
      <c r="C145" s="254">
        <v>1055.05585262</v>
      </c>
      <c r="D145" s="254"/>
      <c r="E145" s="254"/>
      <c r="F145" s="255">
        <v>0</v>
      </c>
      <c r="G145" s="254" t="s">
        <v>440</v>
      </c>
      <c r="H145" s="254"/>
      <c r="I145" s="254"/>
      <c r="J145" s="254"/>
    </row>
    <row r="146" spans="1:10" x14ac:dyDescent="0.25">
      <c r="A146" s="254" t="s">
        <v>358</v>
      </c>
      <c r="B146" s="254" t="s">
        <v>441</v>
      </c>
      <c r="C146" s="254">
        <v>0.17775980158030555</v>
      </c>
      <c r="D146" s="254"/>
      <c r="E146" s="254"/>
      <c r="F146" s="255">
        <v>0</v>
      </c>
      <c r="G146" s="254" t="s">
        <v>444</v>
      </c>
      <c r="H146" s="254"/>
      <c r="I146" s="254"/>
      <c r="J146" s="254"/>
    </row>
    <row r="147" spans="1:10" x14ac:dyDescent="0.25">
      <c r="A147" s="254" t="s">
        <v>359</v>
      </c>
      <c r="B147" s="254" t="s">
        <v>442</v>
      </c>
      <c r="C147" s="254">
        <v>0</v>
      </c>
      <c r="D147" s="254"/>
      <c r="E147" s="254"/>
      <c r="F147" s="255">
        <v>0</v>
      </c>
      <c r="G147" s="254" t="s">
        <v>445</v>
      </c>
      <c r="H147" s="254"/>
      <c r="I147" s="254"/>
      <c r="J147" s="254"/>
    </row>
    <row r="148" spans="1:10" x14ac:dyDescent="0.25">
      <c r="A148" s="254" t="s">
        <v>360</v>
      </c>
      <c r="B148" s="254" t="s">
        <v>361</v>
      </c>
      <c r="C148" s="254">
        <v>0</v>
      </c>
      <c r="D148" s="254"/>
      <c r="E148" s="254"/>
      <c r="F148" s="255">
        <v>0</v>
      </c>
      <c r="G148" s="254" t="s">
        <v>402</v>
      </c>
      <c r="H148" s="254"/>
      <c r="I148" s="254"/>
      <c r="J148" s="254"/>
    </row>
    <row r="149" spans="1:10" x14ac:dyDescent="0.25">
      <c r="A149" s="254" t="s">
        <v>426</v>
      </c>
      <c r="B149" s="254"/>
      <c r="C149" s="254">
        <v>1</v>
      </c>
      <c r="D149" s="254"/>
      <c r="E149" s="254"/>
      <c r="F149" s="255">
        <v>0</v>
      </c>
      <c r="G149" s="254" t="s">
        <v>427</v>
      </c>
      <c r="H149" s="254"/>
      <c r="I149" s="254"/>
      <c r="J149" s="254"/>
    </row>
    <row r="150" spans="1:10" x14ac:dyDescent="0.25">
      <c r="A150" s="254" t="s">
        <v>428</v>
      </c>
      <c r="B150" s="254" t="s">
        <v>434</v>
      </c>
      <c r="C150" s="254">
        <v>0.1857999835647958</v>
      </c>
      <c r="D150" s="254"/>
      <c r="E150" s="254"/>
      <c r="F150" s="255">
        <v>0</v>
      </c>
      <c r="G150" s="254" t="s">
        <v>430</v>
      </c>
      <c r="H150" s="254"/>
      <c r="I150" s="254"/>
      <c r="J150" s="254"/>
    </row>
    <row r="151" spans="1:10" x14ac:dyDescent="0.25">
      <c r="A151" s="254" t="s">
        <v>431</v>
      </c>
      <c r="B151" s="254" t="s">
        <v>435</v>
      </c>
      <c r="C151" s="254">
        <v>1.1857999835647959</v>
      </c>
      <c r="D151" s="254"/>
      <c r="E151" s="254"/>
      <c r="F151" s="255">
        <v>0</v>
      </c>
      <c r="G151" s="254" t="s">
        <v>432</v>
      </c>
      <c r="H151" s="254"/>
      <c r="I151" s="254"/>
      <c r="J151" s="254"/>
    </row>
    <row r="152" spans="1:10" x14ac:dyDescent="0.25">
      <c r="A152" t="s">
        <v>87</v>
      </c>
      <c r="B152" s="254" t="s">
        <v>95</v>
      </c>
    </row>
    <row r="153" spans="1:10" x14ac:dyDescent="0.25">
      <c r="A153" t="s">
        <v>555</v>
      </c>
    </row>
    <row r="154" spans="1:10" x14ac:dyDescent="0.25">
      <c r="A154" s="250" t="s">
        <v>70</v>
      </c>
      <c r="B154" t="s">
        <v>226</v>
      </c>
      <c r="C154" t="s">
        <v>556</v>
      </c>
      <c r="D154" t="s">
        <v>78</v>
      </c>
      <c r="E154" t="s">
        <v>77</v>
      </c>
      <c r="F154" t="s">
        <v>63</v>
      </c>
      <c r="G154" t="s">
        <v>557</v>
      </c>
      <c r="H154" t="s">
        <v>552</v>
      </c>
      <c r="I154" t="s">
        <v>76</v>
      </c>
      <c r="J154" t="s">
        <v>558</v>
      </c>
    </row>
    <row r="155" spans="1:10" x14ac:dyDescent="0.25">
      <c r="A155" s="254" t="s">
        <v>358</v>
      </c>
      <c r="B155" s="254" t="s">
        <v>391</v>
      </c>
      <c r="C155" s="254"/>
      <c r="D155" s="254">
        <v>0.17775980158030555</v>
      </c>
      <c r="E155" s="254">
        <v>1</v>
      </c>
      <c r="F155" s="254" t="s">
        <v>446</v>
      </c>
      <c r="G155" s="254" t="s">
        <v>92</v>
      </c>
      <c r="H155" s="255">
        <v>0</v>
      </c>
      <c r="I155" s="254" t="s">
        <v>388</v>
      </c>
      <c r="J155" s="254" t="s">
        <v>388</v>
      </c>
    </row>
    <row r="156" spans="1:10" x14ac:dyDescent="0.25">
      <c r="A156" s="254" t="s">
        <v>359</v>
      </c>
      <c r="B156" s="254" t="s">
        <v>392</v>
      </c>
      <c r="C156" s="254"/>
      <c r="D156" s="254">
        <v>0</v>
      </c>
      <c r="E156" s="254">
        <v>1</v>
      </c>
      <c r="F156" s="254" t="s">
        <v>446</v>
      </c>
      <c r="G156" s="254" t="s">
        <v>92</v>
      </c>
      <c r="H156" s="255">
        <v>0</v>
      </c>
      <c r="I156" s="254" t="s">
        <v>389</v>
      </c>
      <c r="J156" s="254" t="s">
        <v>389</v>
      </c>
    </row>
    <row r="157" spans="1:10" x14ac:dyDescent="0.25">
      <c r="A157" s="254" t="s">
        <v>360</v>
      </c>
      <c r="B157" s="254" t="s">
        <v>362</v>
      </c>
      <c r="C157" s="254"/>
      <c r="D157" s="254">
        <v>0</v>
      </c>
      <c r="E157" s="254">
        <v>1</v>
      </c>
      <c r="F157" s="254" t="s">
        <v>363</v>
      </c>
      <c r="G157" s="254" t="s">
        <v>92</v>
      </c>
      <c r="H157" s="255">
        <v>0</v>
      </c>
      <c r="I157" s="254" t="s">
        <v>390</v>
      </c>
      <c r="J157" s="254" t="s">
        <v>390</v>
      </c>
    </row>
    <row r="158" spans="1:10" x14ac:dyDescent="0.25">
      <c r="A158" s="254" t="s">
        <v>428</v>
      </c>
      <c r="B158" s="254" t="s">
        <v>437</v>
      </c>
      <c r="C158" s="254"/>
      <c r="D158" s="254">
        <v>0.1857999835647958</v>
      </c>
      <c r="E158" s="254">
        <v>1</v>
      </c>
      <c r="F158" s="254" t="s">
        <v>42</v>
      </c>
      <c r="G158" s="254" t="s">
        <v>92</v>
      </c>
      <c r="H158" s="255">
        <v>0</v>
      </c>
      <c r="I158" s="254" t="s">
        <v>438</v>
      </c>
      <c r="J158" s="254" t="s">
        <v>438</v>
      </c>
    </row>
    <row r="159" spans="1:10" x14ac:dyDescent="0.25">
      <c r="A159" t="s">
        <v>559</v>
      </c>
    </row>
    <row r="160" spans="1:10" x14ac:dyDescent="0.25">
      <c r="A160" s="250" t="s">
        <v>70</v>
      </c>
      <c r="B160" t="s">
        <v>226</v>
      </c>
      <c r="C160" t="s">
        <v>556</v>
      </c>
      <c r="D160" t="s">
        <v>78</v>
      </c>
      <c r="E160" t="s">
        <v>77</v>
      </c>
      <c r="F160" t="s">
        <v>63</v>
      </c>
      <c r="G160" t="s">
        <v>557</v>
      </c>
      <c r="H160" t="s">
        <v>552</v>
      </c>
      <c r="I160" t="s">
        <v>76</v>
      </c>
      <c r="J160" t="s">
        <v>558</v>
      </c>
    </row>
    <row r="161" spans="1:10" x14ac:dyDescent="0.25">
      <c r="A161" s="254"/>
      <c r="B161" s="254" t="s">
        <v>459</v>
      </c>
      <c r="C161" s="254"/>
      <c r="D161" s="254">
        <v>1</v>
      </c>
      <c r="E161" s="254">
        <v>1</v>
      </c>
      <c r="F161" s="254" t="s">
        <v>460</v>
      </c>
      <c r="G161" s="254" t="s">
        <v>92</v>
      </c>
      <c r="H161" s="255">
        <v>0</v>
      </c>
      <c r="I161" s="254" t="s">
        <v>82</v>
      </c>
      <c r="J161" s="254" t="s">
        <v>82</v>
      </c>
    </row>
    <row r="162" spans="1:10" x14ac:dyDescent="0.25">
      <c r="A162" s="254" t="s">
        <v>428</v>
      </c>
      <c r="B162" s="254" t="s">
        <v>436</v>
      </c>
      <c r="C162" s="254"/>
      <c r="D162" s="254">
        <v>0.1857999835647958</v>
      </c>
      <c r="E162" s="254">
        <v>1</v>
      </c>
      <c r="F162" s="254" t="s">
        <v>42</v>
      </c>
      <c r="G162" s="254"/>
      <c r="H162" s="255">
        <v>0</v>
      </c>
      <c r="I162" s="254" t="s">
        <v>83</v>
      </c>
      <c r="J162" s="254" t="s">
        <v>83</v>
      </c>
    </row>
    <row r="163" spans="1:10" x14ac:dyDescent="0.25">
      <c r="A163" t="s">
        <v>558</v>
      </c>
    </row>
    <row r="165" spans="1:10" x14ac:dyDescent="0.25">
      <c r="A165" t="s">
        <v>560</v>
      </c>
    </row>
    <row r="166" spans="1:10" x14ac:dyDescent="0.25">
      <c r="A166" s="250" t="s">
        <v>70</v>
      </c>
      <c r="B166" t="s">
        <v>226</v>
      </c>
      <c r="C166" t="s">
        <v>561</v>
      </c>
      <c r="D166" t="s">
        <v>78</v>
      </c>
      <c r="E166" t="s">
        <v>562</v>
      </c>
      <c r="F166" t="s">
        <v>63</v>
      </c>
      <c r="G166" t="s">
        <v>563</v>
      </c>
      <c r="H166" t="s">
        <v>564</v>
      </c>
      <c r="I166" t="s">
        <v>63</v>
      </c>
    </row>
    <row r="167" spans="1:10" x14ac:dyDescent="0.25">
      <c r="A167" t="s">
        <v>565</v>
      </c>
    </row>
    <row r="168" spans="1:10" x14ac:dyDescent="0.25">
      <c r="A168" s="250" t="s">
        <v>70</v>
      </c>
      <c r="B168" t="s">
        <v>566</v>
      </c>
      <c r="C168" t="s">
        <v>567</v>
      </c>
      <c r="D168" t="s">
        <v>63</v>
      </c>
      <c r="E168" s="250" t="s">
        <v>568</v>
      </c>
      <c r="F168" t="s">
        <v>63</v>
      </c>
      <c r="G168" t="s">
        <v>563</v>
      </c>
      <c r="H168" t="s">
        <v>564</v>
      </c>
      <c r="I168" t="s">
        <v>63</v>
      </c>
    </row>
    <row r="169" spans="1:10" x14ac:dyDescent="0.25">
      <c r="A169" t="s">
        <v>569</v>
      </c>
    </row>
    <row r="170" spans="1:10" x14ac:dyDescent="0.25">
      <c r="A170" s="250" t="s">
        <v>70</v>
      </c>
      <c r="B170" t="s">
        <v>570</v>
      </c>
      <c r="C170" t="s">
        <v>567</v>
      </c>
      <c r="D170" t="s">
        <v>63</v>
      </c>
      <c r="E170" t="s">
        <v>571</v>
      </c>
      <c r="F170" t="s">
        <v>63</v>
      </c>
      <c r="G170" t="s">
        <v>563</v>
      </c>
      <c r="H170" t="s">
        <v>564</v>
      </c>
      <c r="I170" t="s">
        <v>63</v>
      </c>
    </row>
    <row r="171" spans="1:10" x14ac:dyDescent="0.25">
      <c r="A171" t="s">
        <v>572</v>
      </c>
    </row>
    <row r="172" spans="1:10" x14ac:dyDescent="0.25">
      <c r="A172" t="s">
        <v>573</v>
      </c>
      <c r="B172">
        <v>1</v>
      </c>
    </row>
    <row r="173" spans="1:10" x14ac:dyDescent="0.25">
      <c r="A173" t="s">
        <v>481</v>
      </c>
      <c r="B173">
        <v>2012</v>
      </c>
    </row>
    <row r="174" spans="1:10" x14ac:dyDescent="0.25">
      <c r="A174" t="s">
        <v>87</v>
      </c>
      <c r="B174" t="s">
        <v>554</v>
      </c>
    </row>
    <row r="175" spans="1:10" x14ac:dyDescent="0.25">
      <c r="A175" t="s">
        <v>558</v>
      </c>
    </row>
    <row r="177" spans="1:10" x14ac:dyDescent="0.25">
      <c r="A177" t="s">
        <v>574</v>
      </c>
    </row>
    <row r="178" spans="1:10" x14ac:dyDescent="0.25">
      <c r="A178" t="s">
        <v>226</v>
      </c>
      <c r="B178" t="s">
        <v>556</v>
      </c>
      <c r="C178" t="s">
        <v>575</v>
      </c>
      <c r="D178" t="s">
        <v>63</v>
      </c>
      <c r="E178" t="s">
        <v>552</v>
      </c>
      <c r="F178" t="s">
        <v>76</v>
      </c>
      <c r="G178" t="s">
        <v>576</v>
      </c>
      <c r="H178" t="s">
        <v>63</v>
      </c>
      <c r="I178" t="s">
        <v>552</v>
      </c>
      <c r="J178" t="s">
        <v>76</v>
      </c>
    </row>
    <row r="179" spans="1:10" x14ac:dyDescent="0.25">
      <c r="A179" t="s">
        <v>577</v>
      </c>
      <c r="B179" t="s">
        <v>578</v>
      </c>
      <c r="C179">
        <v>0</v>
      </c>
      <c r="D179" t="s">
        <v>579</v>
      </c>
      <c r="E179" s="253">
        <v>0</v>
      </c>
      <c r="F179" t="s">
        <v>580</v>
      </c>
      <c r="G179">
        <v>0</v>
      </c>
      <c r="H179" t="s">
        <v>579</v>
      </c>
      <c r="I179" s="253">
        <v>0</v>
      </c>
      <c r="J179" t="s">
        <v>580</v>
      </c>
    </row>
    <row r="180" spans="1:10" x14ac:dyDescent="0.25">
      <c r="A180" t="s">
        <v>581</v>
      </c>
      <c r="B180" t="s">
        <v>578</v>
      </c>
      <c r="C180">
        <v>0</v>
      </c>
      <c r="D180" t="s">
        <v>579</v>
      </c>
      <c r="E180" s="253">
        <v>0</v>
      </c>
      <c r="F180" t="s">
        <v>580</v>
      </c>
      <c r="G180">
        <v>0</v>
      </c>
      <c r="H180" t="s">
        <v>579</v>
      </c>
      <c r="I180" s="253">
        <v>0</v>
      </c>
      <c r="J180" t="s">
        <v>580</v>
      </c>
    </row>
    <row r="181" spans="1:10" x14ac:dyDescent="0.25">
      <c r="A181" t="s">
        <v>582</v>
      </c>
      <c r="B181" t="s">
        <v>578</v>
      </c>
      <c r="C181">
        <v>0</v>
      </c>
      <c r="D181" t="s">
        <v>579</v>
      </c>
      <c r="E181" s="253">
        <v>0</v>
      </c>
      <c r="F181" t="s">
        <v>580</v>
      </c>
      <c r="G181">
        <v>0</v>
      </c>
      <c r="H181" t="s">
        <v>579</v>
      </c>
      <c r="I181" s="253">
        <v>0</v>
      </c>
      <c r="J181" t="s">
        <v>580</v>
      </c>
    </row>
    <row r="182" spans="1:10" x14ac:dyDescent="0.25">
      <c r="A182" t="s">
        <v>583</v>
      </c>
      <c r="B182" t="s">
        <v>578</v>
      </c>
      <c r="C182">
        <v>0</v>
      </c>
      <c r="D182" t="s">
        <v>579</v>
      </c>
      <c r="E182" s="253">
        <v>0</v>
      </c>
      <c r="F182" t="s">
        <v>580</v>
      </c>
      <c r="G182">
        <v>0</v>
      </c>
      <c r="H182" t="s">
        <v>579</v>
      </c>
      <c r="I182" s="253">
        <v>0</v>
      </c>
      <c r="J182" t="s">
        <v>580</v>
      </c>
    </row>
    <row r="183" spans="1:10" x14ac:dyDescent="0.25">
      <c r="A183" t="s">
        <v>584</v>
      </c>
      <c r="B183" t="s">
        <v>578</v>
      </c>
      <c r="C183">
        <v>0</v>
      </c>
      <c r="D183" t="s">
        <v>579</v>
      </c>
      <c r="E183" s="253">
        <v>0</v>
      </c>
      <c r="F183" t="s">
        <v>580</v>
      </c>
      <c r="G183">
        <v>0</v>
      </c>
      <c r="H183" t="s">
        <v>579</v>
      </c>
      <c r="I183" s="253">
        <v>0</v>
      </c>
      <c r="J183" t="s">
        <v>580</v>
      </c>
    </row>
    <row r="184" spans="1:10" x14ac:dyDescent="0.25">
      <c r="A184" t="s">
        <v>585</v>
      </c>
    </row>
    <row r="185" spans="1:10" x14ac:dyDescent="0.25">
      <c r="A185" t="s">
        <v>226</v>
      </c>
      <c r="B185" t="s">
        <v>556</v>
      </c>
      <c r="C185" t="s">
        <v>575</v>
      </c>
      <c r="D185" t="s">
        <v>63</v>
      </c>
      <c r="E185" t="s">
        <v>552</v>
      </c>
      <c r="F185" t="s">
        <v>76</v>
      </c>
      <c r="G185" t="s">
        <v>576</v>
      </c>
      <c r="H185" t="s">
        <v>63</v>
      </c>
      <c r="I185" t="s">
        <v>552</v>
      </c>
      <c r="J185" t="s">
        <v>76</v>
      </c>
    </row>
    <row r="186" spans="1:10" x14ac:dyDescent="0.25">
      <c r="A186" t="s">
        <v>586</v>
      </c>
      <c r="B186" t="s">
        <v>587</v>
      </c>
      <c r="C186">
        <v>0</v>
      </c>
      <c r="D186" t="s">
        <v>588</v>
      </c>
      <c r="E186" s="253">
        <v>0</v>
      </c>
      <c r="F186" t="s">
        <v>580</v>
      </c>
      <c r="G186">
        <v>0</v>
      </c>
      <c r="H186" t="s">
        <v>588</v>
      </c>
      <c r="I186" s="253">
        <v>0</v>
      </c>
      <c r="J186" t="s">
        <v>580</v>
      </c>
    </row>
    <row r="187" spans="1:10" x14ac:dyDescent="0.25">
      <c r="A187" t="s">
        <v>589</v>
      </c>
      <c r="B187" t="s">
        <v>587</v>
      </c>
      <c r="C187">
        <v>0</v>
      </c>
      <c r="D187" t="s">
        <v>588</v>
      </c>
      <c r="E187" s="253">
        <v>0</v>
      </c>
      <c r="F187" t="s">
        <v>580</v>
      </c>
      <c r="G187">
        <v>0</v>
      </c>
      <c r="H187" t="s">
        <v>588</v>
      </c>
      <c r="I187" s="253">
        <v>0</v>
      </c>
      <c r="J187" t="s">
        <v>580</v>
      </c>
    </row>
    <row r="188" spans="1:10" x14ac:dyDescent="0.25">
      <c r="A188" t="s">
        <v>590</v>
      </c>
      <c r="B188" t="s">
        <v>578</v>
      </c>
      <c r="C188">
        <v>0</v>
      </c>
      <c r="D188" t="s">
        <v>579</v>
      </c>
      <c r="E188" s="253">
        <v>0</v>
      </c>
      <c r="F188" t="s">
        <v>580</v>
      </c>
      <c r="G188">
        <v>0</v>
      </c>
      <c r="H188" t="s">
        <v>579</v>
      </c>
      <c r="I188" s="253">
        <v>0</v>
      </c>
      <c r="J188" t="s">
        <v>580</v>
      </c>
    </row>
    <row r="189" spans="1:10" x14ac:dyDescent="0.25">
      <c r="A189" t="s">
        <v>591</v>
      </c>
    </row>
    <row r="190" spans="1:10" x14ac:dyDescent="0.25">
      <c r="A190" t="s">
        <v>226</v>
      </c>
      <c r="B190" t="s">
        <v>556</v>
      </c>
      <c r="C190" t="s">
        <v>575</v>
      </c>
      <c r="D190" t="s">
        <v>63</v>
      </c>
      <c r="E190" t="s">
        <v>552</v>
      </c>
      <c r="F190" t="s">
        <v>76</v>
      </c>
      <c r="G190" t="s">
        <v>576</v>
      </c>
      <c r="H190" t="s">
        <v>63</v>
      </c>
      <c r="I190" t="s">
        <v>552</v>
      </c>
      <c r="J190" t="s">
        <v>76</v>
      </c>
    </row>
    <row r="191" spans="1:10" x14ac:dyDescent="0.25">
      <c r="A191" t="s">
        <v>592</v>
      </c>
      <c r="B191" t="s">
        <v>578</v>
      </c>
      <c r="C191">
        <v>0</v>
      </c>
      <c r="D191" t="s">
        <v>579</v>
      </c>
      <c r="E191" s="253">
        <v>0</v>
      </c>
      <c r="F191" t="s">
        <v>580</v>
      </c>
      <c r="G191">
        <v>0</v>
      </c>
      <c r="H191" t="s">
        <v>579</v>
      </c>
      <c r="I191" s="253">
        <v>0</v>
      </c>
      <c r="J191" t="s">
        <v>580</v>
      </c>
    </row>
    <row r="192" spans="1:10" x14ac:dyDescent="0.25">
      <c r="A192" t="s">
        <v>593</v>
      </c>
      <c r="B192" t="s">
        <v>578</v>
      </c>
      <c r="C192">
        <v>0</v>
      </c>
      <c r="D192" t="s">
        <v>579</v>
      </c>
      <c r="E192" s="253">
        <v>0</v>
      </c>
      <c r="F192" t="s">
        <v>580</v>
      </c>
      <c r="G192">
        <v>0</v>
      </c>
      <c r="H192" t="s">
        <v>579</v>
      </c>
      <c r="I192" s="253">
        <v>0</v>
      </c>
      <c r="J192" t="s">
        <v>580</v>
      </c>
    </row>
    <row r="193" spans="1:10" x14ac:dyDescent="0.25">
      <c r="A193" t="s">
        <v>594</v>
      </c>
      <c r="B193" t="s">
        <v>578</v>
      </c>
      <c r="C193">
        <v>0</v>
      </c>
      <c r="D193" t="s">
        <v>579</v>
      </c>
      <c r="E193" s="253">
        <v>0</v>
      </c>
      <c r="F193" t="s">
        <v>580</v>
      </c>
      <c r="G193">
        <v>0</v>
      </c>
      <c r="H193" t="s">
        <v>579</v>
      </c>
      <c r="I193" s="253">
        <v>0</v>
      </c>
      <c r="J193" t="s">
        <v>580</v>
      </c>
    </row>
    <row r="194" spans="1:10" x14ac:dyDescent="0.25">
      <c r="A194" t="s">
        <v>595</v>
      </c>
      <c r="B194" t="s">
        <v>578</v>
      </c>
      <c r="C194">
        <v>0</v>
      </c>
      <c r="D194" t="s">
        <v>579</v>
      </c>
      <c r="E194" s="253">
        <v>0</v>
      </c>
      <c r="F194" t="s">
        <v>580</v>
      </c>
      <c r="G194">
        <v>0</v>
      </c>
      <c r="H194" t="s">
        <v>579</v>
      </c>
      <c r="I194" s="253">
        <v>0</v>
      </c>
      <c r="J194" t="s">
        <v>580</v>
      </c>
    </row>
    <row r="195" spans="1:10" x14ac:dyDescent="0.25">
      <c r="A195" t="s">
        <v>596</v>
      </c>
      <c r="B195" t="s">
        <v>578</v>
      </c>
      <c r="C195">
        <v>0</v>
      </c>
      <c r="D195" t="s">
        <v>579</v>
      </c>
      <c r="E195" s="253">
        <v>0</v>
      </c>
      <c r="F195" t="s">
        <v>580</v>
      </c>
      <c r="G195">
        <v>0</v>
      </c>
      <c r="H195" t="s">
        <v>579</v>
      </c>
      <c r="I195" s="253">
        <v>0</v>
      </c>
      <c r="J195" t="s">
        <v>580</v>
      </c>
    </row>
    <row r="196" spans="1:10" x14ac:dyDescent="0.25">
      <c r="A196" t="s">
        <v>597</v>
      </c>
      <c r="B196" t="s">
        <v>578</v>
      </c>
      <c r="C196">
        <v>0</v>
      </c>
      <c r="D196" t="s">
        <v>579</v>
      </c>
      <c r="E196" s="253">
        <v>0</v>
      </c>
      <c r="F196" t="s">
        <v>580</v>
      </c>
      <c r="G196">
        <v>0</v>
      </c>
      <c r="H196" t="s">
        <v>579</v>
      </c>
      <c r="I196" s="253">
        <v>0</v>
      </c>
      <c r="J196" t="s">
        <v>580</v>
      </c>
    </row>
    <row r="197" spans="1:10" x14ac:dyDescent="0.25">
      <c r="A197" t="s">
        <v>598</v>
      </c>
      <c r="B197" t="s">
        <v>578</v>
      </c>
      <c r="C197">
        <v>0</v>
      </c>
      <c r="D197" t="s">
        <v>579</v>
      </c>
      <c r="E197" s="253">
        <v>0</v>
      </c>
      <c r="F197" t="s">
        <v>580</v>
      </c>
      <c r="G197">
        <v>0</v>
      </c>
      <c r="H197" t="s">
        <v>579</v>
      </c>
      <c r="I197" s="253">
        <v>0</v>
      </c>
      <c r="J197" t="s">
        <v>580</v>
      </c>
    </row>
    <row r="198" spans="1:10" x14ac:dyDescent="0.25">
      <c r="A198" t="s">
        <v>599</v>
      </c>
      <c r="B198" t="s">
        <v>578</v>
      </c>
      <c r="C198">
        <v>0</v>
      </c>
      <c r="D198" t="s">
        <v>579</v>
      </c>
      <c r="E198" s="253">
        <v>0</v>
      </c>
      <c r="F198" t="s">
        <v>580</v>
      </c>
      <c r="G198">
        <v>0</v>
      </c>
      <c r="H198" t="s">
        <v>579</v>
      </c>
      <c r="I198" s="253">
        <v>0</v>
      </c>
      <c r="J198" t="s">
        <v>580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J25" sqref="J25"/>
    </sheetView>
  </sheetViews>
  <sheetFormatPr defaultRowHeight="15" x14ac:dyDescent="0.25"/>
  <cols>
    <col min="1" max="1" width="12" bestFit="1" customWidth="1"/>
  </cols>
  <sheetData>
    <row r="1" spans="1:10" x14ac:dyDescent="0.25">
      <c r="A1" s="258">
        <v>244.18604651162795</v>
      </c>
      <c r="G1">
        <v>30</v>
      </c>
      <c r="H1" t="s">
        <v>405</v>
      </c>
    </row>
    <row r="2" spans="1:10" x14ac:dyDescent="0.25">
      <c r="A2" s="258">
        <v>1500</v>
      </c>
      <c r="G2">
        <f>141.5/(131.5+G1)</f>
        <v>0.87616099071207432</v>
      </c>
      <c r="H2" t="s">
        <v>612</v>
      </c>
    </row>
    <row r="3" spans="1:10" x14ac:dyDescent="0.25">
      <c r="G3">
        <f>G2*1</f>
        <v>0.87616099071207432</v>
      </c>
      <c r="H3" t="s">
        <v>613</v>
      </c>
    </row>
    <row r="4" spans="1:10" ht="15.75" x14ac:dyDescent="0.25">
      <c r="A4" s="263" t="s">
        <v>608</v>
      </c>
      <c r="B4" s="259"/>
      <c r="C4" s="259"/>
      <c r="D4" s="259"/>
      <c r="E4" s="261">
        <v>90</v>
      </c>
      <c r="F4" s="259"/>
      <c r="G4" s="259">
        <f>G3/CONVERT(1,"l","gal")*42</f>
        <v>139.29846583474921</v>
      </c>
      <c r="H4" s="259" t="s">
        <v>416</v>
      </c>
      <c r="I4" s="259"/>
      <c r="J4" s="259"/>
    </row>
    <row r="5" spans="1:10" ht="15.75" x14ac:dyDescent="0.25">
      <c r="A5" s="263" t="s">
        <v>609</v>
      </c>
      <c r="B5" s="259"/>
      <c r="C5" s="259"/>
      <c r="D5" s="259"/>
      <c r="E5" s="261">
        <v>165</v>
      </c>
      <c r="F5" s="259"/>
      <c r="G5">
        <v>1</v>
      </c>
      <c r="H5" s="259"/>
      <c r="I5" s="259"/>
      <c r="J5" s="259"/>
    </row>
    <row r="6" spans="1:10" ht="15.75" x14ac:dyDescent="0.25">
      <c r="A6" s="263" t="s">
        <v>610</v>
      </c>
      <c r="B6" s="259"/>
      <c r="C6" s="259"/>
      <c r="D6" s="259"/>
      <c r="E6" s="261">
        <v>150</v>
      </c>
      <c r="F6" s="259"/>
      <c r="G6" s="263">
        <f>G5/CONVERT(1,"l","gal")*42</f>
        <v>158.98729492799998</v>
      </c>
      <c r="H6" s="260" t="s">
        <v>416</v>
      </c>
      <c r="I6" s="262"/>
      <c r="J6" s="259"/>
    </row>
    <row r="7" spans="1:10" ht="15.75" x14ac:dyDescent="0.25">
      <c r="A7" s="263" t="s">
        <v>611</v>
      </c>
      <c r="B7" s="259"/>
      <c r="C7" s="259"/>
      <c r="D7" s="259"/>
      <c r="E7" s="261">
        <v>350</v>
      </c>
      <c r="F7" s="259"/>
      <c r="G7" s="259"/>
      <c r="H7" s="260"/>
      <c r="I7" s="262"/>
      <c r="J7" s="259"/>
    </row>
    <row r="8" spans="1:10" x14ac:dyDescent="0.25">
      <c r="E8" s="253">
        <v>0.02</v>
      </c>
    </row>
    <row r="9" spans="1:10" x14ac:dyDescent="0.25">
      <c r="A9">
        <f>(A2*E6+A1*E7)*(E5-E4)*(1+E8)/10^6</f>
        <v>23.750581395348838</v>
      </c>
      <c r="B9" t="s">
        <v>614</v>
      </c>
    </row>
    <row r="10" spans="1:10" x14ac:dyDescent="0.25">
      <c r="A10">
        <f>A2*G4</f>
        <v>208947.6987521238</v>
      </c>
      <c r="B10" t="s">
        <v>615</v>
      </c>
    </row>
    <row r="11" spans="1:10" x14ac:dyDescent="0.25">
      <c r="A11">
        <f>A1*G6</f>
        <v>38822.478994046513</v>
      </c>
      <c r="B11" t="s">
        <v>616</v>
      </c>
    </row>
    <row r="12" spans="1:10" x14ac:dyDescent="0.25">
      <c r="A12">
        <f>A9/SUM(A10:A11)</f>
        <v>9.5857304585220368E-5</v>
      </c>
      <c r="B12" t="s">
        <v>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51"/>
  <sheetViews>
    <sheetView showGridLines="0" tabSelected="1" topLeftCell="A52" zoomScaleNormal="100" zoomScalePageLayoutView="40" workbookViewId="0">
      <selection activeCell="E74" sqref="E74"/>
    </sheetView>
  </sheetViews>
  <sheetFormatPr defaultColWidth="9.140625" defaultRowHeight="15" x14ac:dyDescent="0.25"/>
  <cols>
    <col min="1" max="1" width="1.85546875" style="2" customWidth="1"/>
    <col min="2" max="2" width="3.5703125" style="78"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s>
  <sheetData>
    <row r="1" spans="1:25" ht="20.25" x14ac:dyDescent="0.3">
      <c r="B1" s="313" t="s">
        <v>0</v>
      </c>
      <c r="C1" s="313"/>
      <c r="D1" s="313"/>
      <c r="E1" s="313"/>
      <c r="F1" s="313"/>
      <c r="G1" s="313"/>
      <c r="H1" s="313"/>
      <c r="I1" s="313"/>
      <c r="J1" s="313"/>
      <c r="K1" s="313"/>
      <c r="L1" s="313"/>
      <c r="M1" s="313"/>
      <c r="N1" s="313"/>
      <c r="O1" s="313"/>
      <c r="P1" s="313"/>
      <c r="Q1" s="313"/>
    </row>
    <row r="2" spans="1:25" ht="20.25" x14ac:dyDescent="0.3">
      <c r="B2" s="313" t="s">
        <v>39</v>
      </c>
      <c r="C2" s="313"/>
      <c r="D2" s="313"/>
      <c r="E2" s="313"/>
      <c r="F2" s="313"/>
      <c r="G2" s="313"/>
      <c r="H2" s="313"/>
      <c r="I2" s="313"/>
      <c r="J2" s="313"/>
      <c r="K2" s="313"/>
      <c r="L2" s="313"/>
      <c r="M2" s="313"/>
      <c r="N2" s="313"/>
      <c r="O2" s="313"/>
      <c r="P2" s="313"/>
      <c r="Q2" s="313"/>
    </row>
    <row r="3" spans="1:25" ht="5.25" customHeight="1" x14ac:dyDescent="0.25">
      <c r="B3" s="9"/>
      <c r="C3" s="2"/>
      <c r="D3" s="2"/>
      <c r="E3" s="2"/>
      <c r="F3" s="2"/>
      <c r="G3" s="2"/>
      <c r="H3" s="2"/>
      <c r="J3" s="2"/>
      <c r="K3" s="2"/>
      <c r="L3" s="2"/>
      <c r="M3" s="2"/>
      <c r="N3" s="2"/>
      <c r="O3" s="2"/>
      <c r="P3" s="2"/>
    </row>
    <row r="4" spans="1:25" ht="15.75" thickBot="1" x14ac:dyDescent="0.3">
      <c r="B4" s="343" t="s">
        <v>40</v>
      </c>
      <c r="C4" s="343"/>
      <c r="D4" s="22" t="s">
        <v>372</v>
      </c>
      <c r="E4" s="23"/>
      <c r="F4" s="2"/>
      <c r="G4" s="2"/>
      <c r="H4" s="2"/>
      <c r="J4" s="2"/>
      <c r="K4" s="2"/>
      <c r="L4" s="2"/>
      <c r="M4" s="2"/>
      <c r="N4" s="2"/>
      <c r="O4" s="2"/>
      <c r="P4" s="2"/>
    </row>
    <row r="5" spans="1:25" ht="15.75" thickBot="1" x14ac:dyDescent="0.3">
      <c r="B5" s="343" t="s">
        <v>41</v>
      </c>
      <c r="C5" s="343"/>
      <c r="D5" s="24">
        <v>1</v>
      </c>
      <c r="E5" s="25" t="s">
        <v>42</v>
      </c>
      <c r="F5" s="26" t="s">
        <v>43</v>
      </c>
      <c r="G5" s="356" t="s">
        <v>420</v>
      </c>
      <c r="H5" s="356"/>
      <c r="I5" s="356"/>
      <c r="J5" s="356"/>
      <c r="K5" s="27"/>
      <c r="L5" s="27"/>
      <c r="M5" s="28" t="s">
        <v>17</v>
      </c>
      <c r="N5" s="29" t="str">
        <f>DQI!I10</f>
        <v>3,3,3,3,2</v>
      </c>
      <c r="O5" s="30"/>
      <c r="P5" s="18" t="s">
        <v>44</v>
      </c>
    </row>
    <row r="6" spans="1:25" ht="27.75" customHeight="1" x14ac:dyDescent="0.25">
      <c r="B6" s="357" t="s">
        <v>45</v>
      </c>
      <c r="C6" s="358"/>
      <c r="D6" s="359" t="s">
        <v>373</v>
      </c>
      <c r="E6" s="360"/>
      <c r="F6" s="360"/>
      <c r="G6" s="360"/>
      <c r="H6" s="360"/>
      <c r="I6" s="360"/>
      <c r="J6" s="360"/>
      <c r="K6" s="360"/>
      <c r="L6" s="360"/>
      <c r="M6" s="360"/>
      <c r="N6" s="360"/>
      <c r="O6" s="361"/>
      <c r="P6" s="31"/>
    </row>
    <row r="7" spans="1:25" ht="15.75" thickBot="1" x14ac:dyDescent="0.3">
      <c r="B7" s="9"/>
      <c r="C7" s="2"/>
      <c r="D7" s="2"/>
      <c r="E7" s="2"/>
      <c r="F7" s="2"/>
      <c r="G7" s="2"/>
      <c r="H7" s="2"/>
      <c r="J7" s="2"/>
      <c r="K7" s="2"/>
      <c r="L7" s="2"/>
      <c r="M7" s="2"/>
      <c r="N7" s="2"/>
      <c r="O7" s="2"/>
      <c r="P7" s="2"/>
    </row>
    <row r="8" spans="1:25" ht="15.75" thickBot="1" x14ac:dyDescent="0.3">
      <c r="A8" s="32"/>
      <c r="B8" s="326" t="s">
        <v>46</v>
      </c>
      <c r="C8" s="327"/>
      <c r="D8" s="327"/>
      <c r="E8" s="327"/>
      <c r="F8" s="327"/>
      <c r="G8" s="327"/>
      <c r="H8" s="327"/>
      <c r="I8" s="327"/>
      <c r="J8" s="327"/>
      <c r="K8" s="327"/>
      <c r="L8" s="327"/>
      <c r="M8" s="327"/>
      <c r="N8" s="327"/>
      <c r="O8" s="327"/>
      <c r="P8" s="328"/>
      <c r="Q8" s="32"/>
      <c r="R8" s="32"/>
      <c r="S8" s="32"/>
      <c r="T8" s="32"/>
      <c r="U8" s="32"/>
      <c r="V8" s="32"/>
      <c r="W8" s="32"/>
      <c r="X8" s="32"/>
      <c r="Y8" s="32"/>
    </row>
    <row r="9" spans="1:25" x14ac:dyDescent="0.25">
      <c r="B9" s="9"/>
      <c r="C9" s="2"/>
      <c r="D9" s="2"/>
      <c r="E9" s="2"/>
      <c r="F9" s="2"/>
      <c r="G9" s="2"/>
      <c r="H9" s="2"/>
      <c r="J9" s="2"/>
      <c r="K9" s="2"/>
      <c r="L9" s="2"/>
      <c r="M9" s="2"/>
      <c r="N9" s="2"/>
      <c r="O9" s="2"/>
      <c r="P9" s="2"/>
    </row>
    <row r="10" spans="1:25" x14ac:dyDescent="0.25">
      <c r="B10" s="343" t="s">
        <v>47</v>
      </c>
      <c r="C10" s="343"/>
      <c r="D10" s="362" t="s">
        <v>386</v>
      </c>
      <c r="E10" s="363"/>
      <c r="F10" s="2"/>
      <c r="G10" s="33" t="s">
        <v>48</v>
      </c>
      <c r="H10" s="34"/>
      <c r="I10" s="34"/>
      <c r="J10" s="34"/>
      <c r="K10" s="34"/>
      <c r="L10" s="34"/>
      <c r="M10" s="34"/>
      <c r="N10" s="34"/>
      <c r="O10" s="35"/>
      <c r="P10" s="2"/>
    </row>
    <row r="11" spans="1:25" x14ac:dyDescent="0.25">
      <c r="B11" s="364" t="s">
        <v>49</v>
      </c>
      <c r="C11" s="365"/>
      <c r="D11" s="366" t="s">
        <v>387</v>
      </c>
      <c r="E11" s="363"/>
      <c r="F11" s="2"/>
      <c r="G11" s="36" t="str">
        <f>CONCATENATE("Reference Flow: ",D5," ",E5," of ",G5)</f>
        <v>Reference Flow: 1 kg of Crude oil processed in heater treater</v>
      </c>
      <c r="H11" s="37"/>
      <c r="I11" s="37"/>
      <c r="J11" s="37"/>
      <c r="K11" s="37"/>
      <c r="L11" s="37"/>
      <c r="M11" s="37"/>
      <c r="N11" s="37"/>
      <c r="O11" s="38"/>
      <c r="P11" s="2"/>
    </row>
    <row r="12" spans="1:25" x14ac:dyDescent="0.25">
      <c r="B12" s="343" t="s">
        <v>50</v>
      </c>
      <c r="C12" s="343"/>
      <c r="D12" s="344" t="s">
        <v>387</v>
      </c>
      <c r="E12" s="344"/>
      <c r="F12" s="2"/>
      <c r="G12" s="36"/>
      <c r="H12" s="37"/>
      <c r="I12" s="37"/>
      <c r="J12" s="37"/>
      <c r="K12" s="37"/>
      <c r="L12" s="37"/>
      <c r="M12" s="37"/>
      <c r="N12" s="37"/>
      <c r="O12" s="38"/>
      <c r="P12" s="2"/>
    </row>
    <row r="13" spans="1:25" ht="12.75" customHeight="1" x14ac:dyDescent="0.25">
      <c r="B13" s="343" t="s">
        <v>51</v>
      </c>
      <c r="C13" s="343"/>
      <c r="D13" s="344" t="s">
        <v>111</v>
      </c>
      <c r="E13" s="344"/>
      <c r="F13" s="2"/>
      <c r="G13" s="345" t="s">
        <v>458</v>
      </c>
      <c r="H13" s="346"/>
      <c r="I13" s="346"/>
      <c r="J13" s="346"/>
      <c r="K13" s="346"/>
      <c r="L13" s="346"/>
      <c r="M13" s="346"/>
      <c r="N13" s="346"/>
      <c r="O13" s="347"/>
      <c r="P13" s="2"/>
    </row>
    <row r="14" spans="1:25" x14ac:dyDescent="0.25">
      <c r="B14" s="343" t="s">
        <v>52</v>
      </c>
      <c r="C14" s="343"/>
      <c r="D14" s="344" t="s">
        <v>99</v>
      </c>
      <c r="E14" s="344"/>
      <c r="F14" s="2"/>
      <c r="G14" s="345"/>
      <c r="H14" s="346"/>
      <c r="I14" s="346"/>
      <c r="J14" s="346"/>
      <c r="K14" s="346"/>
      <c r="L14" s="346"/>
      <c r="M14" s="346"/>
      <c r="N14" s="346"/>
      <c r="O14" s="347"/>
      <c r="P14" s="2"/>
    </row>
    <row r="15" spans="1:25" x14ac:dyDescent="0.25">
      <c r="B15" s="343" t="s">
        <v>53</v>
      </c>
      <c r="C15" s="343"/>
      <c r="D15" s="344" t="s">
        <v>364</v>
      </c>
      <c r="E15" s="344"/>
      <c r="F15" s="2"/>
      <c r="G15" s="345"/>
      <c r="H15" s="346"/>
      <c r="I15" s="346"/>
      <c r="J15" s="346"/>
      <c r="K15" s="346"/>
      <c r="L15" s="346"/>
      <c r="M15" s="346"/>
      <c r="N15" s="346"/>
      <c r="O15" s="347"/>
      <c r="P15" s="2"/>
    </row>
    <row r="16" spans="1:25" x14ac:dyDescent="0.25">
      <c r="B16" s="343" t="s">
        <v>54</v>
      </c>
      <c r="C16" s="343"/>
      <c r="D16" s="344" t="s">
        <v>95</v>
      </c>
      <c r="E16" s="344"/>
      <c r="F16" s="2"/>
      <c r="G16" s="345"/>
      <c r="H16" s="346"/>
      <c r="I16" s="346"/>
      <c r="J16" s="346"/>
      <c r="K16" s="346"/>
      <c r="L16" s="346"/>
      <c r="M16" s="346"/>
      <c r="N16" s="346"/>
      <c r="O16" s="347"/>
      <c r="P16" s="2"/>
    </row>
    <row r="17" spans="1:25" ht="23.45" customHeight="1" x14ac:dyDescent="0.25">
      <c r="B17" s="348" t="s">
        <v>55</v>
      </c>
      <c r="C17" s="349"/>
      <c r="D17" s="350"/>
      <c r="E17" s="350"/>
      <c r="F17" s="2"/>
      <c r="G17" s="39" t="s">
        <v>447</v>
      </c>
      <c r="H17" s="40"/>
      <c r="I17" s="40"/>
      <c r="J17" s="40"/>
      <c r="K17" s="40"/>
      <c r="L17" s="40"/>
      <c r="M17" s="40"/>
      <c r="N17" s="40"/>
      <c r="O17" s="41"/>
      <c r="P17" s="2"/>
    </row>
    <row r="18" spans="1:25" x14ac:dyDescent="0.25">
      <c r="B18" s="9"/>
      <c r="C18" s="2"/>
      <c r="D18" s="2"/>
      <c r="E18" s="2"/>
      <c r="F18" s="2"/>
      <c r="G18" s="2"/>
      <c r="H18" s="2"/>
      <c r="J18" s="2"/>
      <c r="K18" s="2"/>
      <c r="L18" s="2"/>
      <c r="M18" s="2"/>
      <c r="N18" s="2"/>
      <c r="O18" s="2"/>
      <c r="P18" s="2"/>
    </row>
    <row r="19" spans="1:25" ht="15.75" thickBot="1" x14ac:dyDescent="0.3">
      <c r="B19" s="9"/>
      <c r="C19" s="2"/>
      <c r="D19" s="2"/>
      <c r="E19" s="2"/>
      <c r="F19" s="2"/>
      <c r="G19" s="2"/>
      <c r="H19" s="2"/>
      <c r="J19" s="2"/>
      <c r="K19" s="2"/>
      <c r="L19" s="2"/>
      <c r="M19" s="2"/>
      <c r="N19" s="2"/>
      <c r="O19" s="2"/>
      <c r="P19" s="2"/>
    </row>
    <row r="20" spans="1:25" ht="15.75" thickBot="1" x14ac:dyDescent="0.3">
      <c r="A20" s="32"/>
      <c r="B20" s="326" t="s">
        <v>56</v>
      </c>
      <c r="C20" s="327"/>
      <c r="D20" s="327"/>
      <c r="E20" s="327"/>
      <c r="F20" s="327"/>
      <c r="G20" s="327"/>
      <c r="H20" s="327"/>
      <c r="I20" s="327"/>
      <c r="J20" s="327"/>
      <c r="K20" s="327"/>
      <c r="L20" s="327"/>
      <c r="M20" s="327"/>
      <c r="N20" s="327"/>
      <c r="O20" s="327"/>
      <c r="P20" s="328"/>
      <c r="Q20" s="32"/>
      <c r="R20" s="32"/>
      <c r="S20" s="32"/>
      <c r="T20" s="32"/>
      <c r="U20" s="32"/>
      <c r="V20" s="32"/>
      <c r="W20" s="32"/>
      <c r="X20" s="32"/>
      <c r="Y20" s="32"/>
    </row>
    <row r="21" spans="1:25" x14ac:dyDescent="0.25">
      <c r="B21" s="9"/>
      <c r="C21" s="2"/>
      <c r="D21" s="2"/>
      <c r="E21" s="2"/>
      <c r="F21" s="2"/>
      <c r="G21" s="42" t="s">
        <v>57</v>
      </c>
      <c r="H21" s="2"/>
      <c r="J21" s="2"/>
      <c r="K21" s="2"/>
      <c r="L21" s="2"/>
      <c r="M21" s="2"/>
      <c r="N21" s="2"/>
      <c r="O21" s="2"/>
      <c r="P21" s="2"/>
    </row>
    <row r="22" spans="1:25" x14ac:dyDescent="0.25">
      <c r="B22" s="9"/>
      <c r="C22" s="43" t="s">
        <v>58</v>
      </c>
      <c r="D22" s="43" t="s">
        <v>59</v>
      </c>
      <c r="E22" s="43" t="s">
        <v>60</v>
      </c>
      <c r="F22" s="43" t="s">
        <v>61</v>
      </c>
      <c r="G22" s="43" t="s">
        <v>62</v>
      </c>
      <c r="H22" s="43" t="s">
        <v>63</v>
      </c>
      <c r="I22" s="43" t="s">
        <v>64</v>
      </c>
      <c r="J22" s="351" t="s">
        <v>65</v>
      </c>
      <c r="K22" s="352"/>
      <c r="L22" s="352"/>
      <c r="M22" s="352"/>
      <c r="N22" s="352"/>
      <c r="O22" s="352"/>
      <c r="P22" s="353"/>
    </row>
    <row r="23" spans="1:25" ht="12.75" customHeight="1" x14ac:dyDescent="0.25">
      <c r="B23" s="18">
        <f t="shared" ref="B23:B26" si="0">LEN(C23)</f>
        <v>3</v>
      </c>
      <c r="C23" s="44" t="s">
        <v>405</v>
      </c>
      <c r="D23" s="45"/>
      <c r="E23" s="46">
        <v>30</v>
      </c>
      <c r="F23" s="47">
        <v>10</v>
      </c>
      <c r="G23" s="48">
        <v>45</v>
      </c>
      <c r="H23" s="49"/>
      <c r="I23" s="298" t="s">
        <v>669</v>
      </c>
      <c r="J23" s="337" t="s">
        <v>407</v>
      </c>
      <c r="K23" s="338"/>
      <c r="L23" s="338"/>
      <c r="M23" s="338"/>
      <c r="N23" s="338"/>
      <c r="O23" s="338"/>
      <c r="P23" s="339"/>
    </row>
    <row r="24" spans="1:25" ht="15.75" customHeight="1" x14ac:dyDescent="0.25">
      <c r="B24" s="18">
        <f t="shared" si="0"/>
        <v>6</v>
      </c>
      <c r="C24" s="44" t="s">
        <v>408</v>
      </c>
      <c r="D24" s="45" t="s">
        <v>409</v>
      </c>
      <c r="E24" s="214">
        <f>141.5/(E23+131.5)</f>
        <v>0.87616099071207432</v>
      </c>
      <c r="F24" s="47"/>
      <c r="G24" s="48"/>
      <c r="H24" s="49"/>
      <c r="I24" s="47">
        <v>1</v>
      </c>
      <c r="J24" s="337" t="s">
        <v>410</v>
      </c>
      <c r="K24" s="338"/>
      <c r="L24" s="338"/>
      <c r="M24" s="338"/>
      <c r="N24" s="338"/>
      <c r="O24" s="338"/>
      <c r="P24" s="339"/>
    </row>
    <row r="25" spans="1:25" ht="14.25" customHeight="1" x14ac:dyDescent="0.25">
      <c r="B25" s="18">
        <f t="shared" si="0"/>
        <v>6</v>
      </c>
      <c r="C25" s="44" t="s">
        <v>411</v>
      </c>
      <c r="D25" s="45"/>
      <c r="E25" s="87">
        <f>1/CONVERT(42,"gal","l")*1000</f>
        <v>6.2898107704321058</v>
      </c>
      <c r="F25" s="47"/>
      <c r="G25" s="48"/>
      <c r="H25" s="49" t="s">
        <v>412</v>
      </c>
      <c r="I25" s="47"/>
      <c r="J25" s="337" t="s">
        <v>413</v>
      </c>
      <c r="K25" s="338"/>
      <c r="L25" s="338"/>
      <c r="M25" s="338"/>
      <c r="N25" s="338"/>
      <c r="O25" s="338"/>
      <c r="P25" s="339"/>
    </row>
    <row r="26" spans="1:25" ht="15" customHeight="1" x14ac:dyDescent="0.25">
      <c r="B26" s="18">
        <f t="shared" si="0"/>
        <v>11</v>
      </c>
      <c r="C26" s="44" t="s">
        <v>414</v>
      </c>
      <c r="D26" s="45" t="s">
        <v>415</v>
      </c>
      <c r="E26" s="46">
        <f>E24*1000/E25</f>
        <v>139.29846583474921</v>
      </c>
      <c r="F26" s="47"/>
      <c r="G26" s="48"/>
      <c r="H26" s="49" t="s">
        <v>416</v>
      </c>
      <c r="I26" s="47">
        <v>1</v>
      </c>
      <c r="J26" s="337" t="s">
        <v>682</v>
      </c>
      <c r="K26" s="338"/>
      <c r="L26" s="338"/>
      <c r="M26" s="338"/>
      <c r="N26" s="338"/>
      <c r="O26" s="338"/>
      <c r="P26" s="339"/>
    </row>
    <row r="27" spans="1:25" x14ac:dyDescent="0.25">
      <c r="B27" s="18">
        <f t="shared" ref="B27:B61" si="1">LEN(C27)</f>
        <v>13</v>
      </c>
      <c r="C27" s="44" t="s">
        <v>377</v>
      </c>
      <c r="D27" s="45"/>
      <c r="E27" s="87">
        <v>0.14000000000000001</v>
      </c>
      <c r="F27" s="47"/>
      <c r="G27" s="48"/>
      <c r="H27" s="49"/>
      <c r="I27" s="47">
        <v>1</v>
      </c>
      <c r="J27" s="337" t="s">
        <v>450</v>
      </c>
      <c r="K27" s="338"/>
      <c r="L27" s="338"/>
      <c r="M27" s="338"/>
      <c r="N27" s="338"/>
      <c r="O27" s="338"/>
      <c r="P27" s="339"/>
    </row>
    <row r="28" spans="1:25" x14ac:dyDescent="0.25">
      <c r="B28" s="18">
        <f t="shared" si="1"/>
        <v>9</v>
      </c>
      <c r="C28" s="44" t="s">
        <v>347</v>
      </c>
      <c r="D28" s="45"/>
      <c r="E28" s="46">
        <f>'Calculations Sheet'!B12</f>
        <v>90</v>
      </c>
      <c r="F28" s="47"/>
      <c r="G28" s="48"/>
      <c r="H28" s="49" t="s">
        <v>350</v>
      </c>
      <c r="I28" s="47">
        <v>1</v>
      </c>
      <c r="J28" s="337" t="s">
        <v>393</v>
      </c>
      <c r="K28" s="338"/>
      <c r="L28" s="338"/>
      <c r="M28" s="338"/>
      <c r="N28" s="338"/>
      <c r="O28" s="338"/>
      <c r="P28" s="339"/>
    </row>
    <row r="29" spans="1:25" x14ac:dyDescent="0.25">
      <c r="B29" s="18">
        <f t="shared" si="1"/>
        <v>10</v>
      </c>
      <c r="C29" s="44" t="s">
        <v>381</v>
      </c>
      <c r="D29" s="45"/>
      <c r="E29" s="46">
        <f>'Calculations Sheet'!B13</f>
        <v>165</v>
      </c>
      <c r="F29" s="47"/>
      <c r="G29" s="48"/>
      <c r="H29" s="49" t="s">
        <v>350</v>
      </c>
      <c r="I29" s="47">
        <v>1</v>
      </c>
      <c r="J29" s="337" t="s">
        <v>394</v>
      </c>
      <c r="K29" s="338"/>
      <c r="L29" s="338"/>
      <c r="M29" s="338"/>
      <c r="N29" s="338"/>
      <c r="O29" s="338"/>
      <c r="P29" s="339"/>
    </row>
    <row r="30" spans="1:25" x14ac:dyDescent="0.25">
      <c r="B30" s="18">
        <f t="shared" si="1"/>
        <v>8</v>
      </c>
      <c r="C30" s="44" t="s">
        <v>348</v>
      </c>
      <c r="D30" s="45"/>
      <c r="E30" s="46">
        <f>'Calculations Sheet'!B14</f>
        <v>150</v>
      </c>
      <c r="F30" s="47"/>
      <c r="G30" s="48"/>
      <c r="H30" s="49" t="s">
        <v>421</v>
      </c>
      <c r="I30" s="47">
        <v>3</v>
      </c>
      <c r="J30" s="337" t="s">
        <v>422</v>
      </c>
      <c r="K30" s="338"/>
      <c r="L30" s="338"/>
      <c r="M30" s="338"/>
      <c r="N30" s="338"/>
      <c r="O30" s="338"/>
      <c r="P30" s="339"/>
    </row>
    <row r="31" spans="1:25" x14ac:dyDescent="0.25">
      <c r="B31" s="18">
        <f t="shared" ref="B31" si="2">LEN(C31)</f>
        <v>8</v>
      </c>
      <c r="C31" s="44" t="s">
        <v>378</v>
      </c>
      <c r="D31" s="45"/>
      <c r="E31" s="46">
        <f>'Calculations Sheet'!B15</f>
        <v>350</v>
      </c>
      <c r="F31" s="47"/>
      <c r="G31" s="48"/>
      <c r="H31" s="49" t="s">
        <v>421</v>
      </c>
      <c r="I31" s="47">
        <v>3</v>
      </c>
      <c r="J31" s="337" t="s">
        <v>423</v>
      </c>
      <c r="K31" s="338"/>
      <c r="L31" s="338"/>
      <c r="M31" s="338"/>
      <c r="N31" s="338"/>
      <c r="O31" s="338"/>
      <c r="P31" s="339"/>
    </row>
    <row r="32" spans="1:25" x14ac:dyDescent="0.25">
      <c r="B32" s="18">
        <f t="shared" si="1"/>
        <v>9</v>
      </c>
      <c r="C32" s="44" t="s">
        <v>349</v>
      </c>
      <c r="D32" s="45"/>
      <c r="E32" s="87">
        <v>0.02</v>
      </c>
      <c r="F32" s="47"/>
      <c r="G32" s="48"/>
      <c r="H32" s="49"/>
      <c r="I32" s="47">
        <v>3</v>
      </c>
      <c r="J32" s="337" t="s">
        <v>395</v>
      </c>
      <c r="K32" s="338"/>
      <c r="L32" s="338"/>
      <c r="M32" s="338"/>
      <c r="N32" s="338"/>
      <c r="O32" s="338"/>
      <c r="P32" s="339"/>
    </row>
    <row r="33" spans="1:25" x14ac:dyDescent="0.25">
      <c r="B33" s="18">
        <f t="shared" ref="B33:B42" si="3">LEN(C33)</f>
        <v>9</v>
      </c>
      <c r="C33" s="44" t="s">
        <v>351</v>
      </c>
      <c r="D33" s="45"/>
      <c r="E33" s="87">
        <f>'Calculations Sheet'!B18</f>
        <v>1.25</v>
      </c>
      <c r="F33" s="47"/>
      <c r="G33" s="48"/>
      <c r="H33" s="49" t="s">
        <v>234</v>
      </c>
      <c r="I33" s="298" t="s">
        <v>713</v>
      </c>
      <c r="J33" s="337" t="s">
        <v>453</v>
      </c>
      <c r="K33" s="338"/>
      <c r="L33" s="338"/>
      <c r="M33" s="338"/>
      <c r="N33" s="338"/>
      <c r="O33" s="338"/>
      <c r="P33" s="339"/>
    </row>
    <row r="34" spans="1:25" x14ac:dyDescent="0.25">
      <c r="B34" s="18">
        <f t="shared" si="3"/>
        <v>9</v>
      </c>
      <c r="C34" s="44" t="s">
        <v>352</v>
      </c>
      <c r="D34" s="45"/>
      <c r="E34" s="46">
        <f>'Calculations Sheet'!B19</f>
        <v>299.05045351473922</v>
      </c>
      <c r="F34" s="47"/>
      <c r="G34" s="48"/>
      <c r="H34" s="49" t="s">
        <v>344</v>
      </c>
      <c r="I34" s="298" t="s">
        <v>713</v>
      </c>
      <c r="J34" s="337" t="s">
        <v>680</v>
      </c>
      <c r="K34" s="338"/>
      <c r="L34" s="338"/>
      <c r="M34" s="338"/>
      <c r="N34" s="338"/>
      <c r="O34" s="338"/>
      <c r="P34" s="339"/>
    </row>
    <row r="35" spans="1:25" x14ac:dyDescent="0.25">
      <c r="B35" s="18">
        <f t="shared" ref="B35:B36" si="4">LEN(C35)</f>
        <v>12</v>
      </c>
      <c r="C35" s="44" t="s">
        <v>379</v>
      </c>
      <c r="D35" s="45" t="s">
        <v>419</v>
      </c>
      <c r="E35" s="89">
        <f>E27/(1-E27)*E36</f>
        <v>1.1686467377719609E-3</v>
      </c>
      <c r="F35" s="47"/>
      <c r="G35" s="48"/>
      <c r="H35" s="49" t="s">
        <v>418</v>
      </c>
      <c r="I35" s="47">
        <v>1</v>
      </c>
      <c r="J35" s="337" t="s">
        <v>607</v>
      </c>
      <c r="K35" s="338"/>
      <c r="L35" s="338"/>
      <c r="M35" s="338"/>
      <c r="N35" s="338"/>
      <c r="O35" s="338"/>
      <c r="P35" s="339"/>
    </row>
    <row r="36" spans="1:25" x14ac:dyDescent="0.25">
      <c r="B36" s="18">
        <f t="shared" si="4"/>
        <v>10</v>
      </c>
      <c r="C36" s="44" t="s">
        <v>380</v>
      </c>
      <c r="D36" s="45" t="s">
        <v>457</v>
      </c>
      <c r="E36" s="89">
        <f>1/E26</f>
        <v>7.1788299605991882E-3</v>
      </c>
      <c r="F36" s="248"/>
      <c r="G36" s="48"/>
      <c r="H36" s="49" t="s">
        <v>418</v>
      </c>
      <c r="I36" s="47">
        <v>1</v>
      </c>
      <c r="J36" s="337" t="s">
        <v>606</v>
      </c>
      <c r="K36" s="338"/>
      <c r="L36" s="338"/>
      <c r="M36" s="338"/>
      <c r="N36" s="338"/>
      <c r="O36" s="338"/>
      <c r="P36" s="339"/>
    </row>
    <row r="37" spans="1:25" x14ac:dyDescent="0.25">
      <c r="B37" s="18">
        <f t="shared" si="3"/>
        <v>11</v>
      </c>
      <c r="C37" s="44" t="s">
        <v>618</v>
      </c>
      <c r="D37" s="45"/>
      <c r="E37" s="46">
        <v>1</v>
      </c>
      <c r="F37" s="47"/>
      <c r="G37" s="48"/>
      <c r="H37" s="49"/>
      <c r="I37" s="47"/>
      <c r="J37" s="337" t="s">
        <v>623</v>
      </c>
      <c r="K37" s="338"/>
      <c r="L37" s="338"/>
      <c r="M37" s="338"/>
      <c r="N37" s="338"/>
      <c r="O37" s="338"/>
      <c r="P37" s="339"/>
    </row>
    <row r="38" spans="1:25" x14ac:dyDescent="0.25">
      <c r="B38" s="18">
        <f t="shared" si="3"/>
        <v>13</v>
      </c>
      <c r="C38" s="44" t="s">
        <v>619</v>
      </c>
      <c r="D38" s="45"/>
      <c r="E38" s="46">
        <v>1</v>
      </c>
      <c r="F38" s="47"/>
      <c r="G38" s="48"/>
      <c r="H38" s="49"/>
      <c r="I38" s="47"/>
      <c r="J38" s="337" t="s">
        <v>617</v>
      </c>
      <c r="K38" s="338"/>
      <c r="L38" s="338"/>
      <c r="M38" s="338"/>
      <c r="N38" s="338"/>
      <c r="O38" s="338"/>
      <c r="P38" s="339"/>
    </row>
    <row r="39" spans="1:25" ht="26.25" x14ac:dyDescent="0.25">
      <c r="B39" s="18">
        <f t="shared" si="3"/>
        <v>9</v>
      </c>
      <c r="C39" s="44" t="s">
        <v>357</v>
      </c>
      <c r="D39" s="45" t="s">
        <v>624</v>
      </c>
      <c r="E39" s="89">
        <f>(E30*E36+E31*E35)*(E29-E28)*(1+E32)/1000000</f>
        <v>1.1366759020171993E-4</v>
      </c>
      <c r="F39" s="47"/>
      <c r="G39" s="48"/>
      <c r="H39" s="49" t="s">
        <v>424</v>
      </c>
      <c r="I39" s="47">
        <v>1</v>
      </c>
      <c r="J39" s="337" t="s">
        <v>401</v>
      </c>
      <c r="K39" s="338"/>
      <c r="L39" s="338"/>
      <c r="M39" s="338"/>
      <c r="N39" s="338"/>
      <c r="O39" s="338"/>
      <c r="P39" s="339"/>
    </row>
    <row r="40" spans="1:25" s="3" customFormat="1" ht="12.75" x14ac:dyDescent="0.2">
      <c r="A40" s="2"/>
      <c r="B40" s="18">
        <f t="shared" si="3"/>
        <v>11</v>
      </c>
      <c r="C40" s="44" t="s">
        <v>439</v>
      </c>
      <c r="D40" s="45"/>
      <c r="E40" s="46">
        <f>CONVERT(10^6,"BTU","MJ")</f>
        <v>1055.05585262</v>
      </c>
      <c r="F40" s="47"/>
      <c r="G40" s="48"/>
      <c r="H40" s="49" t="s">
        <v>294</v>
      </c>
      <c r="I40" s="47"/>
      <c r="J40" s="335" t="s">
        <v>440</v>
      </c>
      <c r="K40" s="335"/>
      <c r="L40" s="335"/>
      <c r="M40" s="335"/>
      <c r="N40" s="335"/>
      <c r="O40" s="335"/>
      <c r="P40" s="335"/>
      <c r="Q40" s="2"/>
      <c r="R40" s="355"/>
      <c r="S40" s="355"/>
      <c r="T40" s="355"/>
      <c r="U40" s="355"/>
      <c r="V40" s="355"/>
      <c r="W40" s="355"/>
      <c r="X40" s="355"/>
      <c r="Y40" s="249"/>
    </row>
    <row r="41" spans="1:25" ht="26.25" x14ac:dyDescent="0.25">
      <c r="B41" s="18">
        <f t="shared" si="3"/>
        <v>2</v>
      </c>
      <c r="C41" s="44" t="s">
        <v>358</v>
      </c>
      <c r="D41" s="45" t="s">
        <v>620</v>
      </c>
      <c r="E41" s="89">
        <f>IF(AND($E$37=1,$E$38=1),$E$39*$E$33*$E$40,0)</f>
        <v>0.1499070703694205</v>
      </c>
      <c r="F41" s="47"/>
      <c r="G41" s="48"/>
      <c r="H41" s="49" t="s">
        <v>443</v>
      </c>
      <c r="I41" s="47">
        <v>1</v>
      </c>
      <c r="J41" s="337" t="s">
        <v>444</v>
      </c>
      <c r="K41" s="338"/>
      <c r="L41" s="338"/>
      <c r="M41" s="338"/>
      <c r="N41" s="338"/>
      <c r="O41" s="338"/>
      <c r="P41" s="339"/>
    </row>
    <row r="42" spans="1:25" ht="26.25" x14ac:dyDescent="0.25">
      <c r="B42" s="18">
        <f t="shared" si="3"/>
        <v>3</v>
      </c>
      <c r="C42" s="44" t="s">
        <v>359</v>
      </c>
      <c r="D42" s="45" t="s">
        <v>621</v>
      </c>
      <c r="E42" s="89">
        <f>IF(AND($E$37=1,$E$38=0),$E$39*$E$33*$E$40,0)</f>
        <v>0</v>
      </c>
      <c r="F42" s="47"/>
      <c r="G42" s="48"/>
      <c r="H42" s="49" t="s">
        <v>443</v>
      </c>
      <c r="I42" s="47">
        <v>1</v>
      </c>
      <c r="J42" s="337" t="s">
        <v>445</v>
      </c>
      <c r="K42" s="338"/>
      <c r="L42" s="338"/>
      <c r="M42" s="338"/>
      <c r="N42" s="338"/>
      <c r="O42" s="338"/>
      <c r="P42" s="339"/>
    </row>
    <row r="43" spans="1:25" x14ac:dyDescent="0.25">
      <c r="B43" s="18">
        <f t="shared" si="1"/>
        <v>11</v>
      </c>
      <c r="C43" s="44" t="s">
        <v>360</v>
      </c>
      <c r="D43" s="45" t="s">
        <v>622</v>
      </c>
      <c r="E43" s="89">
        <f>IF(E37=0,E39*E34,0)</f>
        <v>0</v>
      </c>
      <c r="F43" s="47"/>
      <c r="G43" s="48"/>
      <c r="H43" s="49" t="s">
        <v>425</v>
      </c>
      <c r="I43" s="47">
        <v>1</v>
      </c>
      <c r="J43" s="337" t="s">
        <v>402</v>
      </c>
      <c r="K43" s="338"/>
      <c r="L43" s="338"/>
      <c r="M43" s="338"/>
      <c r="N43" s="338"/>
      <c r="O43" s="338"/>
      <c r="P43" s="339"/>
    </row>
    <row r="44" spans="1:25" x14ac:dyDescent="0.25">
      <c r="B44" s="18">
        <f t="shared" si="1"/>
        <v>11</v>
      </c>
      <c r="C44" s="44" t="s">
        <v>426</v>
      </c>
      <c r="D44" s="45"/>
      <c r="E44" s="87">
        <v>1</v>
      </c>
      <c r="F44" s="47"/>
      <c r="G44" s="48"/>
      <c r="H44" s="49"/>
      <c r="I44" s="298">
        <v>1</v>
      </c>
      <c r="J44" s="337" t="s">
        <v>427</v>
      </c>
      <c r="K44" s="338"/>
      <c r="L44" s="338"/>
      <c r="M44" s="338"/>
      <c r="N44" s="338"/>
      <c r="O44" s="338"/>
      <c r="P44" s="339"/>
    </row>
    <row r="45" spans="1:25" x14ac:dyDescent="0.25">
      <c r="B45" s="18">
        <f t="shared" si="1"/>
        <v>9</v>
      </c>
      <c r="C45" s="44" t="s">
        <v>428</v>
      </c>
      <c r="D45" s="45" t="s">
        <v>434</v>
      </c>
      <c r="E45" s="89">
        <f>E35*(E44)/E25*1000</f>
        <v>0.1857999835647958</v>
      </c>
      <c r="F45" s="47"/>
      <c r="G45" s="48"/>
      <c r="H45" s="49" t="s">
        <v>429</v>
      </c>
      <c r="I45" s="298">
        <v>1</v>
      </c>
      <c r="J45" s="337" t="s">
        <v>662</v>
      </c>
      <c r="K45" s="338"/>
      <c r="L45" s="338"/>
      <c r="M45" s="338"/>
      <c r="N45" s="338"/>
      <c r="O45" s="338"/>
      <c r="P45" s="339"/>
    </row>
    <row r="46" spans="1:25" x14ac:dyDescent="0.25">
      <c r="B46" s="18">
        <f t="shared" si="1"/>
        <v>7</v>
      </c>
      <c r="C46" s="44" t="s">
        <v>431</v>
      </c>
      <c r="D46" s="45" t="s">
        <v>435</v>
      </c>
      <c r="E46" s="89">
        <f>1+E45</f>
        <v>1.1857999835647959</v>
      </c>
      <c r="F46" s="47"/>
      <c r="G46" s="48"/>
      <c r="H46" s="49" t="s">
        <v>429</v>
      </c>
      <c r="I46" s="298">
        <v>1</v>
      </c>
      <c r="J46" s="337" t="s">
        <v>432</v>
      </c>
      <c r="K46" s="338"/>
      <c r="L46" s="338"/>
      <c r="M46" s="338"/>
      <c r="N46" s="338"/>
      <c r="O46" s="338"/>
      <c r="P46" s="339"/>
    </row>
    <row r="47" spans="1:25" x14ac:dyDescent="0.25">
      <c r="B47" s="18">
        <f t="shared" ref="B47" si="5">LEN(C47)</f>
        <v>8</v>
      </c>
      <c r="C47" s="264" t="s">
        <v>648</v>
      </c>
      <c r="D47" s="265"/>
      <c r="E47" s="266">
        <v>6.4299999999999995E-10</v>
      </c>
      <c r="F47" s="267"/>
      <c r="G47" s="268"/>
      <c r="H47" s="269" t="s">
        <v>429</v>
      </c>
      <c r="I47" s="299">
        <v>4</v>
      </c>
      <c r="J47" s="337" t="s">
        <v>649</v>
      </c>
      <c r="K47" s="338"/>
      <c r="L47" s="338"/>
      <c r="M47" s="338"/>
      <c r="N47" s="338"/>
      <c r="O47" s="338"/>
      <c r="P47" s="339"/>
    </row>
    <row r="48" spans="1:25" s="3" customFormat="1" ht="12.75" x14ac:dyDescent="0.2">
      <c r="A48" s="2"/>
      <c r="B48" s="18">
        <f t="shared" si="1"/>
        <v>2</v>
      </c>
      <c r="C48" s="283" t="s">
        <v>635</v>
      </c>
      <c r="D48" s="284"/>
      <c r="E48" s="285">
        <v>0.02</v>
      </c>
      <c r="F48" s="285"/>
      <c r="G48" s="286"/>
      <c r="H48" s="287"/>
      <c r="I48" s="300"/>
      <c r="J48" s="340" t="s">
        <v>701</v>
      </c>
      <c r="K48" s="341"/>
      <c r="L48" s="341"/>
      <c r="M48" s="341"/>
      <c r="N48" s="341"/>
      <c r="O48" s="341"/>
      <c r="P48" s="342"/>
      <c r="Q48" s="2"/>
      <c r="R48" s="2"/>
      <c r="S48" s="2"/>
      <c r="T48" s="2"/>
      <c r="U48" s="2"/>
      <c r="V48" s="2"/>
      <c r="W48" s="2"/>
      <c r="X48" s="2"/>
      <c r="Y48" s="2"/>
    </row>
    <row r="49" spans="1:25" s="3" customFormat="1" ht="12.75" x14ac:dyDescent="0.2">
      <c r="A49" s="2"/>
      <c r="B49" s="18">
        <f t="shared" si="1"/>
        <v>3</v>
      </c>
      <c r="C49" s="283" t="s">
        <v>632</v>
      </c>
      <c r="D49" s="284"/>
      <c r="E49" s="285">
        <v>0.06</v>
      </c>
      <c r="F49" s="285"/>
      <c r="G49" s="286"/>
      <c r="H49" s="287"/>
      <c r="I49" s="300"/>
      <c r="J49" s="340" t="s">
        <v>707</v>
      </c>
      <c r="K49" s="341"/>
      <c r="L49" s="341"/>
      <c r="M49" s="341"/>
      <c r="N49" s="341"/>
      <c r="O49" s="341"/>
      <c r="P49" s="342"/>
      <c r="Q49" s="2"/>
      <c r="R49" s="2"/>
      <c r="S49" s="2"/>
      <c r="T49" s="2"/>
      <c r="U49" s="2"/>
      <c r="V49" s="2"/>
      <c r="W49" s="2"/>
      <c r="X49" s="2"/>
      <c r="Y49" s="2"/>
    </row>
    <row r="50" spans="1:25" s="3" customFormat="1" ht="12.75" x14ac:dyDescent="0.2">
      <c r="A50" s="2"/>
      <c r="B50" s="18">
        <f t="shared" si="1"/>
        <v>2</v>
      </c>
      <c r="C50" s="283" t="s">
        <v>636</v>
      </c>
      <c r="D50" s="284"/>
      <c r="E50" s="285">
        <v>0.84</v>
      </c>
      <c r="F50" s="285"/>
      <c r="G50" s="286"/>
      <c r="H50" s="287"/>
      <c r="I50" s="300"/>
      <c r="J50" s="340" t="s">
        <v>706</v>
      </c>
      <c r="K50" s="341"/>
      <c r="L50" s="341"/>
      <c r="M50" s="341"/>
      <c r="N50" s="341"/>
      <c r="O50" s="341"/>
      <c r="P50" s="342"/>
      <c r="Q50" s="2"/>
      <c r="R50" s="2"/>
      <c r="S50" s="2"/>
      <c r="T50" s="2"/>
      <c r="U50" s="2"/>
      <c r="V50" s="2"/>
      <c r="W50" s="2"/>
      <c r="X50" s="2"/>
      <c r="Y50" s="2"/>
    </row>
    <row r="51" spans="1:25" s="3" customFormat="1" ht="12.75" x14ac:dyDescent="0.2">
      <c r="A51" s="2"/>
      <c r="B51" s="18">
        <f t="shared" si="1"/>
        <v>2</v>
      </c>
      <c r="C51" s="283" t="s">
        <v>637</v>
      </c>
      <c r="D51" s="284"/>
      <c r="E51" s="285">
        <v>0.04</v>
      </c>
      <c r="F51" s="285"/>
      <c r="G51" s="286"/>
      <c r="H51" s="287"/>
      <c r="I51" s="300"/>
      <c r="J51" s="340" t="s">
        <v>705</v>
      </c>
      <c r="K51" s="341"/>
      <c r="L51" s="341"/>
      <c r="M51" s="341"/>
      <c r="N51" s="341"/>
      <c r="O51" s="341"/>
      <c r="P51" s="342"/>
      <c r="Q51" s="2"/>
      <c r="R51" s="2"/>
      <c r="S51" s="2"/>
      <c r="T51" s="2"/>
      <c r="U51" s="2"/>
      <c r="V51" s="2"/>
      <c r="W51" s="2"/>
      <c r="X51" s="2"/>
      <c r="Y51" s="2"/>
    </row>
    <row r="52" spans="1:25" s="3" customFormat="1" ht="12.75" x14ac:dyDescent="0.2">
      <c r="A52" s="2"/>
      <c r="B52" s="18">
        <f t="shared" si="1"/>
        <v>2</v>
      </c>
      <c r="C52" s="283" t="s">
        <v>638</v>
      </c>
      <c r="D52" s="284"/>
      <c r="E52" s="285">
        <v>0.02</v>
      </c>
      <c r="F52" s="285"/>
      <c r="G52" s="286"/>
      <c r="H52" s="287"/>
      <c r="I52" s="300"/>
      <c r="J52" s="340" t="s">
        <v>704</v>
      </c>
      <c r="K52" s="341"/>
      <c r="L52" s="341"/>
      <c r="M52" s="341"/>
      <c r="N52" s="341"/>
      <c r="O52" s="341"/>
      <c r="P52" s="342"/>
      <c r="Q52" s="2"/>
      <c r="R52" s="2"/>
      <c r="S52" s="2"/>
      <c r="T52" s="2"/>
      <c r="U52" s="2"/>
      <c r="V52" s="2"/>
      <c r="W52" s="2"/>
      <c r="X52" s="2"/>
      <c r="Y52" s="2"/>
    </row>
    <row r="53" spans="1:25" s="3" customFormat="1" ht="12.75" x14ac:dyDescent="0.2">
      <c r="A53" s="2"/>
      <c r="B53" s="18">
        <f t="shared" si="1"/>
        <v>7</v>
      </c>
      <c r="C53" s="283" t="s">
        <v>639</v>
      </c>
      <c r="D53" s="284"/>
      <c r="E53" s="285">
        <v>0.01</v>
      </c>
      <c r="F53" s="285"/>
      <c r="G53" s="286"/>
      <c r="H53" s="287"/>
      <c r="I53" s="300"/>
      <c r="J53" s="340" t="s">
        <v>703</v>
      </c>
      <c r="K53" s="341"/>
      <c r="L53" s="341"/>
      <c r="M53" s="341"/>
      <c r="N53" s="341"/>
      <c r="O53" s="341"/>
      <c r="P53" s="342"/>
      <c r="Q53" s="2"/>
      <c r="R53" s="2"/>
      <c r="S53" s="2"/>
      <c r="T53" s="2"/>
      <c r="U53" s="2"/>
      <c r="V53" s="2"/>
      <c r="W53" s="2"/>
      <c r="X53" s="2"/>
      <c r="Y53" s="2"/>
    </row>
    <row r="54" spans="1:25" s="3" customFormat="1" ht="12.75" x14ac:dyDescent="0.2">
      <c r="A54" s="2"/>
      <c r="B54" s="18">
        <f t="shared" si="1"/>
        <v>3</v>
      </c>
      <c r="C54" s="283" t="s">
        <v>640</v>
      </c>
      <c r="D54" s="284"/>
      <c r="E54" s="285">
        <v>0.01</v>
      </c>
      <c r="F54" s="285"/>
      <c r="G54" s="286"/>
      <c r="H54" s="287"/>
      <c r="I54" s="300"/>
      <c r="J54" s="340" t="s">
        <v>702</v>
      </c>
      <c r="K54" s="341"/>
      <c r="L54" s="341"/>
      <c r="M54" s="341"/>
      <c r="N54" s="341"/>
      <c r="O54" s="341"/>
      <c r="P54" s="342"/>
      <c r="Q54" s="2"/>
      <c r="R54" s="2"/>
      <c r="S54" s="367"/>
      <c r="T54" s="367"/>
      <c r="U54" s="367"/>
      <c r="V54" s="367"/>
      <c r="W54" s="367"/>
      <c r="X54" s="367"/>
      <c r="Y54" s="367"/>
    </row>
    <row r="55" spans="1:25" s="3" customFormat="1" ht="12.75" x14ac:dyDescent="0.2">
      <c r="A55" s="2"/>
      <c r="B55" s="18">
        <f t="shared" si="1"/>
        <v>4</v>
      </c>
      <c r="C55" s="283" t="s">
        <v>641</v>
      </c>
      <c r="D55" s="285" t="str">
        <f>C48&amp;"*28.0134"</f>
        <v>N2*28.0134</v>
      </c>
      <c r="E55" s="285">
        <f>E48*28.0134</f>
        <v>0.56026799999999999</v>
      </c>
      <c r="F55" s="286"/>
      <c r="G55" s="286"/>
      <c r="H55" s="287" t="s">
        <v>683</v>
      </c>
      <c r="I55" s="300">
        <v>5</v>
      </c>
      <c r="J55" s="340" t="s">
        <v>684</v>
      </c>
      <c r="K55" s="341"/>
      <c r="L55" s="341"/>
      <c r="M55" s="341"/>
      <c r="N55" s="341"/>
      <c r="O55" s="341"/>
      <c r="P55" s="342"/>
      <c r="Q55" s="2"/>
      <c r="R55" s="2"/>
      <c r="S55" s="354"/>
      <c r="T55" s="354"/>
      <c r="U55" s="354"/>
      <c r="V55" s="354"/>
      <c r="W55" s="354"/>
      <c r="X55" s="354"/>
      <c r="Y55" s="354"/>
    </row>
    <row r="56" spans="1:25" s="3" customFormat="1" ht="12.75" x14ac:dyDescent="0.2">
      <c r="A56" s="2"/>
      <c r="B56" s="18">
        <f t="shared" si="1"/>
        <v>5</v>
      </c>
      <c r="C56" s="283" t="s">
        <v>642</v>
      </c>
      <c r="D56" s="285" t="str">
        <f>C49&amp;"*44.01"</f>
        <v>CO2*44.01</v>
      </c>
      <c r="E56" s="285">
        <f>E49*44.01</f>
        <v>2.6405999999999996</v>
      </c>
      <c r="F56" s="286"/>
      <c r="G56" s="286"/>
      <c r="H56" s="287" t="s">
        <v>683</v>
      </c>
      <c r="I56" s="300">
        <v>5</v>
      </c>
      <c r="J56" s="340" t="s">
        <v>685</v>
      </c>
      <c r="K56" s="341"/>
      <c r="L56" s="341"/>
      <c r="M56" s="341"/>
      <c r="N56" s="341"/>
      <c r="O56" s="341"/>
      <c r="P56" s="342"/>
      <c r="Q56" s="2"/>
      <c r="R56" s="2"/>
      <c r="S56" s="354"/>
      <c r="T56" s="354"/>
      <c r="U56" s="354"/>
      <c r="V56" s="354"/>
      <c r="W56" s="354"/>
      <c r="X56" s="354"/>
      <c r="Y56" s="354"/>
    </row>
    <row r="57" spans="1:25" s="3" customFormat="1" ht="12.75" x14ac:dyDescent="0.2">
      <c r="A57" s="2"/>
      <c r="B57" s="18">
        <f t="shared" si="1"/>
        <v>4</v>
      </c>
      <c r="C57" s="283" t="s">
        <v>643</v>
      </c>
      <c r="D57" s="285" t="str">
        <f>C50&amp;"*16.04"</f>
        <v>C1*16.04</v>
      </c>
      <c r="E57" s="285">
        <f>E50*16.04</f>
        <v>13.473599999999999</v>
      </c>
      <c r="F57" s="286"/>
      <c r="G57" s="286"/>
      <c r="H57" s="287" t="s">
        <v>683</v>
      </c>
      <c r="I57" s="300">
        <v>5</v>
      </c>
      <c r="J57" s="340" t="s">
        <v>686</v>
      </c>
      <c r="K57" s="341"/>
      <c r="L57" s="341"/>
      <c r="M57" s="341"/>
      <c r="N57" s="341"/>
      <c r="O57" s="341"/>
      <c r="P57" s="342"/>
      <c r="Q57" s="2"/>
      <c r="R57" s="2"/>
      <c r="S57" s="354"/>
      <c r="T57" s="354"/>
      <c r="U57" s="354"/>
      <c r="V57" s="354"/>
      <c r="W57" s="354"/>
      <c r="X57" s="354"/>
      <c r="Y57" s="354"/>
    </row>
    <row r="58" spans="1:25" s="3" customFormat="1" ht="12.75" x14ac:dyDescent="0.2">
      <c r="A58" s="2"/>
      <c r="B58" s="18">
        <f t="shared" si="1"/>
        <v>4</v>
      </c>
      <c r="C58" s="283" t="s">
        <v>644</v>
      </c>
      <c r="D58" s="285" t="str">
        <f>C51&amp;"*30.07"</f>
        <v>C2*30.07</v>
      </c>
      <c r="E58" s="285">
        <f>E51*30.07</f>
        <v>1.2028000000000001</v>
      </c>
      <c r="F58" s="286"/>
      <c r="G58" s="286"/>
      <c r="H58" s="287" t="s">
        <v>683</v>
      </c>
      <c r="I58" s="300">
        <v>5</v>
      </c>
      <c r="J58" s="340" t="s">
        <v>687</v>
      </c>
      <c r="K58" s="341"/>
      <c r="L58" s="341"/>
      <c r="M58" s="341"/>
      <c r="N58" s="341"/>
      <c r="O58" s="341"/>
      <c r="P58" s="342"/>
      <c r="Q58" s="2"/>
      <c r="R58" s="2"/>
      <c r="S58" s="354"/>
      <c r="T58" s="354"/>
      <c r="U58" s="354"/>
      <c r="V58" s="354"/>
      <c r="W58" s="354"/>
      <c r="X58" s="354"/>
      <c r="Y58" s="354"/>
    </row>
    <row r="59" spans="1:25" s="3" customFormat="1" ht="12.75" x14ac:dyDescent="0.2">
      <c r="A59" s="2"/>
      <c r="B59" s="18">
        <f t="shared" si="1"/>
        <v>4</v>
      </c>
      <c r="C59" s="283" t="s">
        <v>645</v>
      </c>
      <c r="D59" s="285" t="str">
        <f>C52&amp;"*44.1"</f>
        <v>C3*44.1</v>
      </c>
      <c r="E59" s="285">
        <f>E52*44.1</f>
        <v>0.88200000000000001</v>
      </c>
      <c r="F59" s="286"/>
      <c r="G59" s="286"/>
      <c r="H59" s="287" t="s">
        <v>683</v>
      </c>
      <c r="I59" s="300">
        <v>5</v>
      </c>
      <c r="J59" s="340" t="s">
        <v>688</v>
      </c>
      <c r="K59" s="341"/>
      <c r="L59" s="341"/>
      <c r="M59" s="341"/>
      <c r="N59" s="341"/>
      <c r="O59" s="341"/>
      <c r="P59" s="342"/>
      <c r="Q59" s="2"/>
      <c r="R59" s="2"/>
      <c r="S59" s="354"/>
      <c r="T59" s="354"/>
      <c r="U59" s="354"/>
      <c r="V59" s="354"/>
      <c r="W59" s="354"/>
      <c r="X59" s="354"/>
      <c r="Y59" s="354"/>
    </row>
    <row r="60" spans="1:25" s="3" customFormat="1" ht="12.75" x14ac:dyDescent="0.2">
      <c r="A60" s="2"/>
      <c r="B60" s="18">
        <f t="shared" si="1"/>
        <v>9</v>
      </c>
      <c r="C60" s="283" t="s">
        <v>646</v>
      </c>
      <c r="D60" s="285" t="str">
        <f>C53&amp;"*95.34"</f>
        <v>C4_plus*95.34</v>
      </c>
      <c r="E60" s="285">
        <f>E53*95.34</f>
        <v>0.95340000000000003</v>
      </c>
      <c r="F60" s="286"/>
      <c r="G60" s="286"/>
      <c r="H60" s="287" t="s">
        <v>683</v>
      </c>
      <c r="I60" s="300">
        <v>5.6</v>
      </c>
      <c r="J60" s="340" t="s">
        <v>690</v>
      </c>
      <c r="K60" s="341"/>
      <c r="L60" s="341"/>
      <c r="M60" s="341"/>
      <c r="N60" s="341"/>
      <c r="O60" s="341"/>
      <c r="P60" s="342"/>
      <c r="Q60" s="2"/>
      <c r="R60" s="2"/>
      <c r="S60" s="354"/>
      <c r="T60" s="354"/>
      <c r="U60" s="354"/>
      <c r="V60" s="354"/>
      <c r="W60" s="354"/>
      <c r="X60" s="354"/>
      <c r="Y60" s="354"/>
    </row>
    <row r="61" spans="1:25" s="3" customFormat="1" ht="12.75" x14ac:dyDescent="0.2">
      <c r="A61" s="2"/>
      <c r="B61" s="18">
        <f t="shared" si="1"/>
        <v>5</v>
      </c>
      <c r="C61" s="283" t="s">
        <v>647</v>
      </c>
      <c r="D61" s="285" t="str">
        <f>C54&amp;"*34.0809"</f>
        <v>H2S*34.0809</v>
      </c>
      <c r="E61" s="285">
        <f>E54*34.0809</f>
        <v>0.34080900000000003</v>
      </c>
      <c r="F61" s="286"/>
      <c r="G61" s="286"/>
      <c r="H61" s="287" t="s">
        <v>683</v>
      </c>
      <c r="I61" s="300">
        <v>5</v>
      </c>
      <c r="J61" s="340" t="s">
        <v>689</v>
      </c>
      <c r="K61" s="341"/>
      <c r="L61" s="341"/>
      <c r="M61" s="341"/>
      <c r="N61" s="341"/>
      <c r="O61" s="341"/>
      <c r="P61" s="342"/>
      <c r="Q61" s="2"/>
      <c r="R61" s="2"/>
      <c r="S61" s="354"/>
      <c r="T61" s="354"/>
      <c r="U61" s="354"/>
      <c r="V61" s="354"/>
      <c r="W61" s="354"/>
      <c r="X61" s="354"/>
      <c r="Y61" s="354"/>
    </row>
    <row r="62" spans="1:25" s="3" customFormat="1" ht="12.75" x14ac:dyDescent="0.2">
      <c r="A62" s="2"/>
      <c r="B62" s="18">
        <f t="shared" ref="B62:B67" si="6">LEN(C62)</f>
        <v>7</v>
      </c>
      <c r="C62" s="288" t="s">
        <v>650</v>
      </c>
      <c r="D62" s="289" t="str">
        <f t="shared" ref="D62:D67" si="7">$C$47&amp;"*"&amp;C55&amp;"/"&amp;$C$57</f>
        <v>CH4_mass*N2_m/C1_m</v>
      </c>
      <c r="E62" s="292">
        <f t="shared" ref="E62:E67" si="8">$E$47*E55/$E$57</f>
        <v>2.6737644282151759E-11</v>
      </c>
      <c r="F62" s="48"/>
      <c r="G62" s="48"/>
      <c r="H62" s="290" t="s">
        <v>429</v>
      </c>
      <c r="I62" s="301" t="s">
        <v>710</v>
      </c>
      <c r="J62" s="332" t="s">
        <v>656</v>
      </c>
      <c r="K62" s="333"/>
      <c r="L62" s="333"/>
      <c r="M62" s="333"/>
      <c r="N62" s="333"/>
      <c r="O62" s="333"/>
      <c r="P62" s="334"/>
      <c r="Q62" s="2"/>
      <c r="R62" s="2"/>
      <c r="S62" s="354"/>
      <c r="T62" s="354"/>
      <c r="U62" s="354"/>
      <c r="V62" s="354"/>
      <c r="W62" s="354"/>
      <c r="X62" s="354"/>
      <c r="Y62" s="354"/>
    </row>
    <row r="63" spans="1:25" s="3" customFormat="1" ht="12.75" x14ac:dyDescent="0.2">
      <c r="A63" s="2"/>
      <c r="B63" s="18">
        <f t="shared" si="6"/>
        <v>8</v>
      </c>
      <c r="C63" s="288" t="s">
        <v>651</v>
      </c>
      <c r="D63" s="289" t="str">
        <f t="shared" si="7"/>
        <v>CH4_mass*CO2_m/C1_m</v>
      </c>
      <c r="E63" s="292">
        <f t="shared" si="8"/>
        <v>1.260172337014606E-10</v>
      </c>
      <c r="F63" s="48"/>
      <c r="G63" s="48"/>
      <c r="H63" s="290" t="s">
        <v>429</v>
      </c>
      <c r="I63" s="301" t="s">
        <v>710</v>
      </c>
      <c r="J63" s="332" t="s">
        <v>657</v>
      </c>
      <c r="K63" s="333"/>
      <c r="L63" s="333"/>
      <c r="M63" s="333"/>
      <c r="N63" s="333"/>
      <c r="O63" s="333"/>
      <c r="P63" s="334"/>
      <c r="Q63" s="2"/>
      <c r="R63" s="2"/>
      <c r="S63" s="354"/>
      <c r="T63" s="354"/>
      <c r="U63" s="354"/>
      <c r="V63" s="354"/>
      <c r="W63" s="354"/>
      <c r="X63" s="354"/>
      <c r="Y63" s="354"/>
    </row>
    <row r="64" spans="1:25" s="3" customFormat="1" ht="12.75" x14ac:dyDescent="0.2">
      <c r="A64" s="2"/>
      <c r="B64" s="18">
        <f t="shared" si="6"/>
        <v>9</v>
      </c>
      <c r="C64" s="288" t="s">
        <v>653</v>
      </c>
      <c r="D64" s="289" t="str">
        <f t="shared" si="7"/>
        <v>CH4_mass*C1_m/C1_m</v>
      </c>
      <c r="E64" s="292">
        <f t="shared" si="8"/>
        <v>6.4299999999999985E-10</v>
      </c>
      <c r="F64" s="48"/>
      <c r="G64" s="48"/>
      <c r="H64" s="290" t="s">
        <v>429</v>
      </c>
      <c r="I64" s="301" t="s">
        <v>710</v>
      </c>
      <c r="J64" s="332" t="s">
        <v>658</v>
      </c>
      <c r="K64" s="333"/>
      <c r="L64" s="333"/>
      <c r="M64" s="333"/>
      <c r="N64" s="333"/>
      <c r="O64" s="333"/>
      <c r="P64" s="334"/>
      <c r="Q64" s="2"/>
      <c r="R64" s="2"/>
      <c r="S64" s="354"/>
      <c r="T64" s="354"/>
      <c r="U64" s="354"/>
      <c r="V64" s="354"/>
      <c r="W64" s="354"/>
      <c r="X64" s="354"/>
      <c r="Y64" s="354"/>
    </row>
    <row r="65" spans="1:25" s="3" customFormat="1" ht="12.75" x14ac:dyDescent="0.2">
      <c r="A65" s="2"/>
      <c r="B65" s="18">
        <f t="shared" si="6"/>
        <v>9</v>
      </c>
      <c r="C65" s="288" t="s">
        <v>654</v>
      </c>
      <c r="D65" s="289" t="str">
        <f t="shared" si="7"/>
        <v>CH4_mass*C2_m/C1_m</v>
      </c>
      <c r="E65" s="292">
        <f t="shared" si="8"/>
        <v>5.7401169694810595E-11</v>
      </c>
      <c r="F65" s="48"/>
      <c r="G65" s="48"/>
      <c r="H65" s="290" t="s">
        <v>429</v>
      </c>
      <c r="I65" s="301" t="s">
        <v>710</v>
      </c>
      <c r="J65" s="332" t="s">
        <v>659</v>
      </c>
      <c r="K65" s="333"/>
      <c r="L65" s="333"/>
      <c r="M65" s="333"/>
      <c r="N65" s="333"/>
      <c r="O65" s="333"/>
      <c r="P65" s="334"/>
      <c r="Q65" s="2"/>
      <c r="R65" s="2"/>
      <c r="S65" s="354"/>
      <c r="T65" s="354"/>
      <c r="U65" s="354"/>
      <c r="V65" s="354"/>
      <c r="W65" s="354"/>
      <c r="X65" s="354"/>
      <c r="Y65" s="354"/>
    </row>
    <row r="66" spans="1:25" s="3" customFormat="1" ht="12.75" x14ac:dyDescent="0.2">
      <c r="A66" s="2"/>
      <c r="B66" s="18">
        <f t="shared" si="6"/>
        <v>12</v>
      </c>
      <c r="C66" s="288" t="s">
        <v>655</v>
      </c>
      <c r="D66" s="289" t="str">
        <f t="shared" si="7"/>
        <v>CH4_mass*C3_m/C1_m</v>
      </c>
      <c r="E66" s="292">
        <f t="shared" si="8"/>
        <v>4.209164588528678E-11</v>
      </c>
      <c r="F66" s="48"/>
      <c r="G66" s="48"/>
      <c r="H66" s="290" t="s">
        <v>429</v>
      </c>
      <c r="I66" s="301" t="s">
        <v>710</v>
      </c>
      <c r="J66" s="332" t="s">
        <v>660</v>
      </c>
      <c r="K66" s="333"/>
      <c r="L66" s="333"/>
      <c r="M66" s="333"/>
      <c r="N66" s="333"/>
      <c r="O66" s="333"/>
      <c r="P66" s="334"/>
      <c r="Q66" s="2"/>
      <c r="R66" s="2"/>
      <c r="S66" s="354"/>
      <c r="T66" s="354"/>
      <c r="U66" s="354"/>
      <c r="V66" s="354"/>
      <c r="W66" s="354"/>
      <c r="X66" s="354"/>
      <c r="Y66" s="354"/>
    </row>
    <row r="67" spans="1:25" s="3" customFormat="1" ht="12.75" x14ac:dyDescent="0.2">
      <c r="A67" s="2"/>
      <c r="B67" s="18">
        <f t="shared" si="6"/>
        <v>8</v>
      </c>
      <c r="C67" s="288" t="s">
        <v>652</v>
      </c>
      <c r="D67" s="289" t="str">
        <f t="shared" si="7"/>
        <v>CH4_mass*C4_plus_m/C1_m</v>
      </c>
      <c r="E67" s="292">
        <f t="shared" si="8"/>
        <v>4.5499064837905242E-11</v>
      </c>
      <c r="F67" s="48"/>
      <c r="G67" s="48"/>
      <c r="H67" s="290" t="s">
        <v>429</v>
      </c>
      <c r="I67" s="301" t="s">
        <v>710</v>
      </c>
      <c r="J67" s="332" t="s">
        <v>661</v>
      </c>
      <c r="K67" s="333"/>
      <c r="L67" s="333"/>
      <c r="M67" s="333"/>
      <c r="N67" s="333"/>
      <c r="O67" s="333"/>
      <c r="P67" s="334"/>
      <c r="Q67" s="2"/>
      <c r="R67" s="2"/>
      <c r="S67" s="354"/>
      <c r="T67" s="354"/>
      <c r="U67" s="354"/>
      <c r="V67" s="354"/>
      <c r="W67" s="354"/>
      <c r="X67" s="354"/>
      <c r="Y67" s="354"/>
    </row>
    <row r="68" spans="1:25" s="3" customFormat="1" ht="12.75" x14ac:dyDescent="0.2">
      <c r="A68" s="2"/>
      <c r="B68" s="18">
        <f>LEN(C68)</f>
        <v>7</v>
      </c>
      <c r="C68" s="288" t="s">
        <v>675</v>
      </c>
      <c r="D68" s="289" t="str">
        <f>C62&amp;"+"&amp;C63&amp;"+"&amp;C64&amp;"+"&amp;C65&amp;"+"&amp;C66&amp;"+"&amp;C67&amp;"+"&amp;C61</f>
        <v>N2_mass+CO2_mass+C2H6_mass+C3H8_mass+C4_plus_mass+H2S_mass+H2S_m</v>
      </c>
      <c r="E68" s="292">
        <f>SUM(E62:E67)</f>
        <v>9.4074675840161484E-10</v>
      </c>
      <c r="F68" s="48"/>
      <c r="G68" s="48"/>
      <c r="H68" s="291" t="s">
        <v>429</v>
      </c>
      <c r="I68" s="301" t="s">
        <v>710</v>
      </c>
      <c r="J68" s="332" t="s">
        <v>676</v>
      </c>
      <c r="K68" s="333"/>
      <c r="L68" s="333"/>
      <c r="M68" s="333"/>
      <c r="N68" s="333"/>
      <c r="O68" s="333"/>
      <c r="P68" s="334"/>
      <c r="Q68" s="2"/>
      <c r="R68" s="2"/>
      <c r="S68" s="2"/>
      <c r="T68" s="2"/>
      <c r="U68" s="2"/>
      <c r="V68" s="2"/>
      <c r="W68" s="2"/>
      <c r="X68" s="2"/>
      <c r="Y68" s="2"/>
    </row>
    <row r="69" spans="1:25" x14ac:dyDescent="0.25">
      <c r="B69" s="9"/>
      <c r="C69" s="50" t="s">
        <v>66</v>
      </c>
      <c r="D69" s="51" t="s">
        <v>67</v>
      </c>
      <c r="E69" s="52"/>
      <c r="F69" s="52"/>
      <c r="G69" s="52"/>
      <c r="H69" s="53"/>
      <c r="I69" s="54"/>
      <c r="J69" s="55"/>
      <c r="K69" s="55"/>
      <c r="L69" s="55"/>
      <c r="M69" s="55"/>
      <c r="N69" s="55"/>
      <c r="O69" s="55"/>
      <c r="P69" s="56"/>
    </row>
    <row r="70" spans="1:25" ht="15.75" thickBot="1" x14ac:dyDescent="0.3">
      <c r="B70" s="9"/>
      <c r="C70" s="2"/>
      <c r="D70" s="2"/>
      <c r="E70" s="2"/>
      <c r="F70" s="2"/>
      <c r="G70" s="2"/>
      <c r="H70" s="2"/>
      <c r="J70" s="2"/>
      <c r="K70" s="2"/>
      <c r="L70" s="2"/>
      <c r="M70" s="2"/>
      <c r="N70" s="2"/>
      <c r="O70" s="2"/>
      <c r="P70" s="2"/>
    </row>
    <row r="71" spans="1:25" ht="15.75" thickBot="1" x14ac:dyDescent="0.3">
      <c r="A71" s="32"/>
      <c r="B71" s="326" t="s">
        <v>68</v>
      </c>
      <c r="C71" s="327"/>
      <c r="D71" s="327"/>
      <c r="E71" s="327"/>
      <c r="F71" s="327"/>
      <c r="G71" s="327"/>
      <c r="H71" s="327"/>
      <c r="I71" s="327"/>
      <c r="J71" s="327"/>
      <c r="K71" s="327"/>
      <c r="L71" s="327"/>
      <c r="M71" s="327"/>
      <c r="N71" s="327"/>
      <c r="O71" s="327"/>
      <c r="P71" s="328"/>
      <c r="Q71" s="32"/>
      <c r="R71" s="32"/>
      <c r="S71" s="32"/>
      <c r="T71" s="32"/>
      <c r="U71" s="32"/>
      <c r="V71" s="32"/>
      <c r="W71" s="32"/>
      <c r="X71" s="32"/>
      <c r="Y71" s="32"/>
    </row>
    <row r="72" spans="1:25" x14ac:dyDescent="0.25">
      <c r="B72" s="9"/>
      <c r="C72" s="2"/>
      <c r="D72" s="2"/>
      <c r="E72" s="2"/>
      <c r="F72" s="2"/>
      <c r="G72" s="2"/>
      <c r="H72" s="42" t="s">
        <v>69</v>
      </c>
      <c r="J72" s="2"/>
      <c r="K72" s="2"/>
      <c r="L72" s="2"/>
      <c r="M72" s="2"/>
      <c r="N72" s="2"/>
      <c r="O72" s="2"/>
      <c r="P72" s="2"/>
    </row>
    <row r="73" spans="1:25" x14ac:dyDescent="0.25">
      <c r="B73" s="9"/>
      <c r="C73" s="43" t="s">
        <v>70</v>
      </c>
      <c r="D73" s="43" t="s">
        <v>71</v>
      </c>
      <c r="E73" s="43" t="s">
        <v>60</v>
      </c>
      <c r="F73" s="43" t="s">
        <v>72</v>
      </c>
      <c r="G73" s="43" t="s">
        <v>70</v>
      </c>
      <c r="H73" s="43" t="s">
        <v>63</v>
      </c>
      <c r="I73" s="43" t="s">
        <v>73</v>
      </c>
      <c r="J73" s="43" t="s">
        <v>74</v>
      </c>
      <c r="K73" s="43" t="s">
        <v>75</v>
      </c>
      <c r="L73" s="43" t="s">
        <v>76</v>
      </c>
      <c r="M73" s="43" t="s">
        <v>64</v>
      </c>
      <c r="N73" s="329" t="s">
        <v>65</v>
      </c>
      <c r="O73" s="329"/>
      <c r="P73" s="329"/>
      <c r="X73" s="32"/>
      <c r="Y73" s="32"/>
    </row>
    <row r="74" spans="1:25" ht="14.25" customHeight="1" x14ac:dyDescent="0.25">
      <c r="B74" s="9"/>
      <c r="C74" s="57" t="s">
        <v>358</v>
      </c>
      <c r="D74" s="58" t="s">
        <v>722</v>
      </c>
      <c r="E74" s="59">
        <v>1</v>
      </c>
      <c r="F74" s="59" t="s">
        <v>446</v>
      </c>
      <c r="G74" s="60">
        <f>IF($C74="",1,VLOOKUP($C74,$C$22:$H$69,3,FALSE))</f>
        <v>0.1499070703694205</v>
      </c>
      <c r="H74" s="61" t="str">
        <f>IF($C74="","",VLOOKUP($C74,$C$22:$H$69,6,FALSE))</f>
        <v>MJ/kg</v>
      </c>
      <c r="I74" s="62">
        <f>IF(D74="","",E74*G74*$D$5)</f>
        <v>0.1499070703694205</v>
      </c>
      <c r="J74" s="59" t="s">
        <v>446</v>
      </c>
      <c r="K74" s="63" t="s">
        <v>92</v>
      </c>
      <c r="L74" s="59"/>
      <c r="M74" s="64"/>
      <c r="N74" s="336" t="s">
        <v>388</v>
      </c>
      <c r="O74" s="336"/>
      <c r="P74" s="336"/>
      <c r="X74" s="32"/>
      <c r="Y74" s="32"/>
    </row>
    <row r="75" spans="1:25" ht="14.25" customHeight="1" x14ac:dyDescent="0.25">
      <c r="B75" s="9"/>
      <c r="C75" s="57" t="s">
        <v>359</v>
      </c>
      <c r="D75" s="58" t="s">
        <v>605</v>
      </c>
      <c r="E75" s="59">
        <v>1</v>
      </c>
      <c r="F75" s="59" t="s">
        <v>446</v>
      </c>
      <c r="G75" s="60">
        <f>IF($C75="",1,VLOOKUP($C75,$C$22:$H$69,3,FALSE))</f>
        <v>0</v>
      </c>
      <c r="H75" s="61" t="str">
        <f>IF($C75="","",VLOOKUP($C75,$C$22:$H$69,6,FALSE))</f>
        <v>MJ/kg</v>
      </c>
      <c r="I75" s="62">
        <f>IF(D75="","",E75*G75*$D$5)</f>
        <v>0</v>
      </c>
      <c r="J75" s="59" t="s">
        <v>446</v>
      </c>
      <c r="K75" s="63" t="s">
        <v>92</v>
      </c>
      <c r="L75" s="59"/>
      <c r="M75" s="64"/>
      <c r="N75" s="336" t="s">
        <v>389</v>
      </c>
      <c r="O75" s="336"/>
      <c r="P75" s="336"/>
      <c r="X75" s="32"/>
      <c r="Y75" s="32"/>
    </row>
    <row r="76" spans="1:25" x14ac:dyDescent="0.25">
      <c r="B76" s="9"/>
      <c r="C76" s="44" t="s">
        <v>360</v>
      </c>
      <c r="D76" s="65" t="s">
        <v>604</v>
      </c>
      <c r="E76" s="59">
        <v>1</v>
      </c>
      <c r="F76" s="59" t="s">
        <v>363</v>
      </c>
      <c r="G76" s="60">
        <f>IF($C76="",1,VLOOKUP($C76,$C$22:$H$69,3,FALSE))</f>
        <v>0</v>
      </c>
      <c r="H76" s="61" t="str">
        <f>IF($C76="","",VLOOKUP($C76,$C$22:$H$69,6,FALSE))</f>
        <v>kWh/kg</v>
      </c>
      <c r="I76" s="62">
        <f t="shared" ref="I76" si="9">IF(D76="","",E76*G76*$D$5)</f>
        <v>0</v>
      </c>
      <c r="J76" s="59" t="s">
        <v>363</v>
      </c>
      <c r="K76" s="63" t="s">
        <v>92</v>
      </c>
      <c r="L76" s="59"/>
      <c r="M76" s="64"/>
      <c r="N76" s="336" t="s">
        <v>390</v>
      </c>
      <c r="O76" s="336"/>
      <c r="P76" s="336"/>
      <c r="X76" s="32"/>
      <c r="Y76" s="32"/>
    </row>
    <row r="77" spans="1:25" s="282" customFormat="1" x14ac:dyDescent="0.25">
      <c r="A77" s="9"/>
      <c r="B77" s="9"/>
      <c r="C77" s="288" t="s">
        <v>675</v>
      </c>
      <c r="D77" s="70" t="s">
        <v>709</v>
      </c>
      <c r="E77" s="293">
        <v>1</v>
      </c>
      <c r="F77" s="294" t="s">
        <v>42</v>
      </c>
      <c r="G77" s="60">
        <f>IF($C77="",1,VLOOKUP($C77,$C$22:$H$69,3,FALSE))</f>
        <v>9.4074675840161484E-10</v>
      </c>
      <c r="H77" s="61" t="s">
        <v>42</v>
      </c>
      <c r="I77" s="295">
        <f t="shared" ref="I77" si="10">IF(D77="","",E77*G77*$D$5)</f>
        <v>9.4074675840161484E-10</v>
      </c>
      <c r="J77" s="293" t="s">
        <v>42</v>
      </c>
      <c r="K77" s="296" t="s">
        <v>92</v>
      </c>
      <c r="L77" s="294"/>
      <c r="M77" s="73"/>
      <c r="N77" s="336" t="s">
        <v>708</v>
      </c>
      <c r="O77" s="336"/>
      <c r="P77" s="336"/>
      <c r="Q77" s="2"/>
      <c r="R77" s="2"/>
      <c r="S77" s="2"/>
      <c r="T77" s="2"/>
      <c r="U77" s="2"/>
      <c r="V77" s="2"/>
      <c r="W77" s="2"/>
      <c r="X77" s="32"/>
      <c r="Y77" s="32"/>
    </row>
    <row r="78" spans="1:25" x14ac:dyDescent="0.25">
      <c r="B78" s="9"/>
      <c r="C78" s="67" t="s">
        <v>66</v>
      </c>
      <c r="D78" s="51" t="s">
        <v>67</v>
      </c>
      <c r="E78" s="68" t="s">
        <v>77</v>
      </c>
      <c r="F78" s="51"/>
      <c r="G78" s="51"/>
      <c r="H78" s="51"/>
      <c r="I78" s="68" t="s">
        <v>78</v>
      </c>
      <c r="J78" s="51"/>
      <c r="K78" s="68"/>
      <c r="L78" s="51" t="s">
        <v>79</v>
      </c>
      <c r="M78" s="69"/>
      <c r="N78" s="331"/>
      <c r="O78" s="331"/>
      <c r="P78" s="331"/>
      <c r="X78" s="32"/>
      <c r="Y78" s="32"/>
    </row>
    <row r="79" spans="1:25" ht="15.75" thickBot="1" x14ac:dyDescent="0.3">
      <c r="B79" s="9"/>
      <c r="C79" s="2"/>
      <c r="D79" s="2"/>
      <c r="E79" s="2"/>
      <c r="F79" s="2"/>
      <c r="G79" s="2"/>
      <c r="H79" s="2"/>
      <c r="J79" s="2"/>
      <c r="K79" s="2"/>
      <c r="L79" s="2"/>
      <c r="M79" s="2"/>
      <c r="N79" s="2"/>
      <c r="O79" s="2"/>
      <c r="P79" s="2"/>
      <c r="X79" s="32"/>
      <c r="Y79" s="32"/>
    </row>
    <row r="80" spans="1:25" ht="15.75" thickBot="1" x14ac:dyDescent="0.3">
      <c r="A80" s="32"/>
      <c r="B80" s="326" t="s">
        <v>80</v>
      </c>
      <c r="C80" s="327"/>
      <c r="D80" s="327"/>
      <c r="E80" s="327"/>
      <c r="F80" s="327"/>
      <c r="G80" s="327"/>
      <c r="H80" s="327"/>
      <c r="I80" s="327"/>
      <c r="J80" s="327"/>
      <c r="K80" s="327"/>
      <c r="L80" s="327"/>
      <c r="M80" s="327"/>
      <c r="N80" s="327"/>
      <c r="O80" s="327"/>
      <c r="P80" s="328"/>
      <c r="Q80" s="32"/>
      <c r="R80" s="32"/>
      <c r="S80" s="32"/>
      <c r="T80" s="32"/>
      <c r="U80" s="32"/>
      <c r="V80" s="32"/>
      <c r="W80" s="32"/>
      <c r="X80" s="32"/>
      <c r="Y80" s="32"/>
    </row>
    <row r="81" spans="2:25" x14ac:dyDescent="0.25">
      <c r="B81" s="9"/>
      <c r="C81" s="2"/>
      <c r="D81" s="2"/>
      <c r="E81" s="2"/>
      <c r="F81" s="2"/>
      <c r="G81" s="2"/>
      <c r="H81" s="42" t="s">
        <v>81</v>
      </c>
      <c r="J81" s="2"/>
      <c r="K81" s="2"/>
      <c r="L81" s="2"/>
      <c r="M81" s="2"/>
      <c r="N81" s="2"/>
      <c r="O81" s="2"/>
      <c r="P81" s="2"/>
      <c r="X81" s="32"/>
      <c r="Y81" s="32"/>
    </row>
    <row r="82" spans="2:25" x14ac:dyDescent="0.25">
      <c r="B82" s="9"/>
      <c r="C82" s="43" t="s">
        <v>70</v>
      </c>
      <c r="D82" s="43" t="s">
        <v>71</v>
      </c>
      <c r="E82" s="43" t="s">
        <v>60</v>
      </c>
      <c r="F82" s="43" t="s">
        <v>72</v>
      </c>
      <c r="G82" s="43" t="s">
        <v>70</v>
      </c>
      <c r="H82" s="43" t="s">
        <v>63</v>
      </c>
      <c r="I82" s="43" t="s">
        <v>73</v>
      </c>
      <c r="J82" s="43" t="s">
        <v>74</v>
      </c>
      <c r="K82" s="43" t="s">
        <v>75</v>
      </c>
      <c r="L82" s="43" t="s">
        <v>76</v>
      </c>
      <c r="M82" s="43" t="s">
        <v>64</v>
      </c>
      <c r="N82" s="329" t="s">
        <v>65</v>
      </c>
      <c r="O82" s="329"/>
      <c r="P82" s="329"/>
      <c r="X82" s="32"/>
      <c r="Y82" s="32"/>
    </row>
    <row r="83" spans="2:25" x14ac:dyDescent="0.25">
      <c r="B83" s="9"/>
      <c r="C83" s="70" t="s">
        <v>677</v>
      </c>
      <c r="D83" s="71" t="s">
        <v>723</v>
      </c>
      <c r="E83" s="72">
        <v>1</v>
      </c>
      <c r="F83" s="72" t="s">
        <v>42</v>
      </c>
      <c r="G83" s="60"/>
      <c r="H83" s="61" t="s">
        <v>429</v>
      </c>
      <c r="I83" s="62">
        <v>1</v>
      </c>
      <c r="J83" s="72" t="s">
        <v>42</v>
      </c>
      <c r="K83" s="63" t="s">
        <v>92</v>
      </c>
      <c r="L83" s="59"/>
      <c r="M83" s="73"/>
      <c r="N83" s="330" t="s">
        <v>82</v>
      </c>
      <c r="O83" s="330"/>
      <c r="P83" s="330"/>
      <c r="X83" s="32"/>
      <c r="Y83" s="32"/>
    </row>
    <row r="84" spans="2:25" x14ac:dyDescent="0.25">
      <c r="B84" s="9"/>
      <c r="C84" s="67" t="s">
        <v>66</v>
      </c>
      <c r="D84" s="74" t="s">
        <v>67</v>
      </c>
      <c r="E84" s="68" t="s">
        <v>77</v>
      </c>
      <c r="F84" s="51"/>
      <c r="G84" s="75"/>
      <c r="H84" s="76"/>
      <c r="I84" s="76"/>
      <c r="J84" s="51"/>
      <c r="K84" s="68"/>
      <c r="L84" s="51" t="s">
        <v>79</v>
      </c>
      <c r="M84" s="69"/>
      <c r="N84" s="331"/>
      <c r="O84" s="331"/>
      <c r="P84" s="331"/>
      <c r="X84" s="32"/>
      <c r="Y84" s="32"/>
    </row>
    <row r="85" spans="2:25" x14ac:dyDescent="0.25">
      <c r="B85" s="9"/>
      <c r="C85" s="2"/>
      <c r="D85" s="2"/>
      <c r="E85" s="2"/>
      <c r="F85" s="2"/>
      <c r="G85" s="2"/>
      <c r="H85" s="2"/>
      <c r="J85" s="2"/>
      <c r="K85" s="2"/>
      <c r="L85" s="2"/>
      <c r="M85" s="2"/>
      <c r="N85" s="2"/>
      <c r="O85" s="2"/>
      <c r="P85" s="2"/>
      <c r="X85" s="32"/>
      <c r="Y85" s="32"/>
    </row>
    <row r="86" spans="2:25" x14ac:dyDescent="0.25">
      <c r="B86" s="9"/>
      <c r="C86" s="2"/>
      <c r="D86" s="2"/>
      <c r="E86" s="2"/>
      <c r="F86" s="2"/>
      <c r="G86" s="2"/>
      <c r="H86" s="2"/>
      <c r="J86" s="2"/>
      <c r="K86" s="2"/>
      <c r="L86" s="2"/>
      <c r="M86" s="2"/>
      <c r="N86" s="2"/>
      <c r="O86" s="2"/>
      <c r="P86" s="2"/>
    </row>
    <row r="87" spans="2:25" x14ac:dyDescent="0.25">
      <c r="B87" s="9"/>
      <c r="C87" s="2"/>
      <c r="D87" s="2"/>
      <c r="E87" s="2"/>
      <c r="F87" s="2"/>
      <c r="G87" s="2"/>
      <c r="H87" s="2"/>
      <c r="J87" s="2"/>
      <c r="K87" s="2"/>
      <c r="L87" s="2"/>
      <c r="M87" s="2"/>
      <c r="N87" s="2"/>
      <c r="O87" s="2"/>
      <c r="P87" s="2"/>
    </row>
    <row r="88" spans="2:25" x14ac:dyDescent="0.25">
      <c r="B88" s="9"/>
      <c r="C88" s="2"/>
      <c r="D88" s="2"/>
      <c r="E88" s="2"/>
      <c r="F88" s="2"/>
      <c r="G88" s="2"/>
      <c r="H88" s="2"/>
      <c r="J88" s="2"/>
      <c r="K88" s="2"/>
      <c r="L88" s="2"/>
      <c r="M88" s="2"/>
      <c r="N88" s="2"/>
      <c r="O88" s="2"/>
      <c r="P88" s="2"/>
    </row>
    <row r="89" spans="2:25" x14ac:dyDescent="0.25">
      <c r="B89" s="9"/>
      <c r="C89" s="2"/>
      <c r="D89" s="2"/>
      <c r="E89" s="2"/>
      <c r="F89" s="2"/>
      <c r="G89" s="2"/>
      <c r="H89" s="2"/>
      <c r="J89" s="2"/>
      <c r="K89" s="2"/>
      <c r="L89" s="2"/>
      <c r="M89" s="2"/>
      <c r="N89" s="2"/>
      <c r="O89" s="2"/>
      <c r="P89" s="2"/>
    </row>
    <row r="90" spans="2:25" x14ac:dyDescent="0.25">
      <c r="B90" s="9"/>
      <c r="C90" s="2"/>
      <c r="D90" s="2"/>
      <c r="E90" s="2"/>
      <c r="F90" s="2"/>
      <c r="G90" s="2"/>
      <c r="H90" s="2"/>
      <c r="J90" s="2"/>
      <c r="K90" s="2"/>
      <c r="L90" s="2"/>
      <c r="M90" s="2"/>
      <c r="N90" s="2"/>
      <c r="O90" s="2"/>
      <c r="P90" s="2"/>
    </row>
    <row r="91" spans="2:25" x14ac:dyDescent="0.25">
      <c r="B91" s="9"/>
      <c r="C91" s="2"/>
      <c r="D91" s="2"/>
      <c r="E91" s="2"/>
      <c r="F91" s="2"/>
      <c r="G91" s="2"/>
      <c r="H91" s="2"/>
      <c r="J91" s="2"/>
      <c r="K91" s="2"/>
      <c r="L91" s="2"/>
      <c r="M91" s="2"/>
      <c r="N91" s="2"/>
      <c r="O91" s="2"/>
      <c r="P91" s="2"/>
    </row>
    <row r="92" spans="2:25" x14ac:dyDescent="0.25">
      <c r="B92" s="9"/>
      <c r="C92" s="2"/>
      <c r="D92" s="2"/>
      <c r="E92" s="2"/>
      <c r="F92" s="2"/>
      <c r="G92" s="2"/>
      <c r="H92" s="2"/>
      <c r="J92" s="2"/>
      <c r="K92" s="2"/>
      <c r="L92" s="2"/>
      <c r="M92" s="2"/>
      <c r="N92" s="2"/>
      <c r="O92" s="2"/>
      <c r="P92" s="2"/>
    </row>
    <row r="93" spans="2:25" x14ac:dyDescent="0.25">
      <c r="B93" s="9"/>
      <c r="C93" s="2"/>
      <c r="D93" s="2"/>
      <c r="E93" s="2"/>
      <c r="F93" s="2"/>
      <c r="G93" s="2"/>
      <c r="H93" s="2"/>
      <c r="J93" s="2"/>
      <c r="K93" s="2"/>
      <c r="L93" s="2"/>
      <c r="M93" s="2"/>
      <c r="N93" s="2"/>
      <c r="O93" s="2"/>
      <c r="P93" s="2"/>
    </row>
    <row r="94" spans="2:25" x14ac:dyDescent="0.25">
      <c r="B94" s="9"/>
      <c r="C94" s="2"/>
      <c r="D94" s="2"/>
      <c r="E94" s="2"/>
      <c r="F94" s="2"/>
      <c r="G94" s="2"/>
      <c r="H94" s="2"/>
      <c r="J94" s="2"/>
      <c r="K94" s="2"/>
      <c r="L94" s="2"/>
      <c r="M94" s="2"/>
      <c r="N94" s="2"/>
      <c r="O94" s="2"/>
      <c r="P94" s="2"/>
    </row>
    <row r="95" spans="2:25" x14ac:dyDescent="0.25">
      <c r="B95" s="9"/>
      <c r="C95" s="2"/>
      <c r="D95" s="2"/>
      <c r="E95" s="2"/>
      <c r="F95" s="2"/>
      <c r="G95" s="2"/>
      <c r="H95" s="2"/>
      <c r="J95" s="2"/>
      <c r="K95" s="2"/>
      <c r="L95" s="2"/>
      <c r="M95" s="2"/>
      <c r="N95" s="2"/>
      <c r="O95" s="2"/>
      <c r="P95" s="2"/>
    </row>
    <row r="96" spans="2:25" x14ac:dyDescent="0.25">
      <c r="B96" s="9"/>
      <c r="C96" s="2"/>
      <c r="D96" s="2"/>
      <c r="E96" s="2"/>
      <c r="F96" s="2"/>
      <c r="G96" s="2"/>
      <c r="H96" s="2"/>
      <c r="J96" s="2"/>
      <c r="K96" s="2"/>
      <c r="L96" s="2"/>
      <c r="M96" s="2"/>
      <c r="N96" s="2"/>
      <c r="O96" s="2"/>
      <c r="P96" s="2"/>
    </row>
    <row r="97" spans="2:16" x14ac:dyDescent="0.25">
      <c r="B97" s="9"/>
      <c r="C97" s="2"/>
      <c r="D97" s="2"/>
      <c r="E97" s="2"/>
      <c r="F97" s="2"/>
      <c r="G97" s="2"/>
      <c r="H97" s="2"/>
      <c r="J97" s="2"/>
      <c r="K97" s="2"/>
      <c r="L97" s="2"/>
      <c r="M97" s="2"/>
      <c r="N97" s="2"/>
      <c r="O97" s="2"/>
      <c r="P97" s="2"/>
    </row>
    <row r="98" spans="2:16" x14ac:dyDescent="0.25">
      <c r="B98" s="9"/>
      <c r="C98" s="2"/>
      <c r="D98" s="2"/>
      <c r="E98" s="2"/>
      <c r="F98" s="2"/>
      <c r="G98" s="2"/>
      <c r="H98" s="2"/>
      <c r="J98" s="2"/>
      <c r="K98" s="2"/>
      <c r="L98" s="2"/>
      <c r="M98" s="2"/>
      <c r="N98" s="2"/>
      <c r="O98" s="2"/>
      <c r="P98" s="2"/>
    </row>
    <row r="99" spans="2:16" x14ac:dyDescent="0.25">
      <c r="B99" s="9"/>
      <c r="C99" s="2"/>
      <c r="D99" s="2"/>
      <c r="E99" s="2"/>
      <c r="F99" s="2"/>
      <c r="G99" s="2"/>
      <c r="H99" s="2"/>
      <c r="J99" s="2"/>
      <c r="K99" s="2"/>
      <c r="L99" s="2"/>
      <c r="M99" s="2"/>
      <c r="N99" s="2"/>
      <c r="O99" s="2"/>
      <c r="P99" s="2"/>
    </row>
    <row r="100" spans="2:16" x14ac:dyDescent="0.25">
      <c r="B100" s="9"/>
      <c r="C100" s="2"/>
      <c r="D100" s="2"/>
      <c r="E100" s="2"/>
      <c r="F100" s="2"/>
      <c r="G100" s="2"/>
      <c r="H100" s="2"/>
      <c r="J100" s="2"/>
      <c r="K100" s="2"/>
      <c r="L100" s="2"/>
      <c r="M100" s="2"/>
      <c r="N100" s="2"/>
      <c r="O100" s="2"/>
      <c r="P100" s="2"/>
    </row>
    <row r="101" spans="2:16" x14ac:dyDescent="0.25">
      <c r="B101" s="9"/>
      <c r="C101" s="2"/>
      <c r="D101" s="2"/>
      <c r="E101" s="2"/>
      <c r="F101" s="2"/>
      <c r="G101" s="2"/>
      <c r="H101" s="2"/>
      <c r="J101" s="2"/>
      <c r="K101" s="2"/>
      <c r="L101" s="2"/>
      <c r="M101" s="2"/>
      <c r="N101" s="2"/>
      <c r="O101" s="2"/>
      <c r="P101" s="2"/>
    </row>
    <row r="102" spans="2:16" x14ac:dyDescent="0.25">
      <c r="B102" s="9"/>
      <c r="C102" s="2"/>
      <c r="D102" s="2"/>
      <c r="E102" s="2"/>
      <c r="F102" s="2"/>
      <c r="G102" s="2"/>
      <c r="H102" s="2"/>
      <c r="J102" s="2"/>
      <c r="K102" s="2"/>
      <c r="L102" s="2"/>
      <c r="M102" s="2"/>
      <c r="N102" s="2"/>
      <c r="O102" s="2"/>
      <c r="P102" s="2"/>
    </row>
    <row r="103" spans="2:16" x14ac:dyDescent="0.25">
      <c r="B103" s="9"/>
      <c r="C103" s="2"/>
      <c r="D103" s="2"/>
      <c r="E103" s="2"/>
      <c r="F103" s="2"/>
      <c r="G103" s="2"/>
      <c r="H103" s="2"/>
      <c r="J103" s="2"/>
      <c r="K103" s="2"/>
      <c r="L103" s="2"/>
      <c r="M103" s="2"/>
      <c r="N103" s="2"/>
      <c r="O103" s="2"/>
      <c r="P103" s="2"/>
    </row>
    <row r="104" spans="2:16" x14ac:dyDescent="0.25">
      <c r="B104" s="9"/>
      <c r="C104" s="2"/>
      <c r="D104" s="2"/>
      <c r="E104" s="2"/>
      <c r="F104" s="2"/>
      <c r="G104" s="2"/>
      <c r="H104" s="2"/>
      <c r="J104" s="2"/>
      <c r="K104" s="2"/>
      <c r="L104" s="2"/>
      <c r="M104" s="2"/>
      <c r="N104" s="2"/>
      <c r="O104" s="2"/>
      <c r="P104" s="2"/>
    </row>
    <row r="105" spans="2:16" x14ac:dyDescent="0.25">
      <c r="B105" s="9"/>
      <c r="C105" s="2"/>
      <c r="D105" s="2"/>
      <c r="E105" s="2"/>
      <c r="F105" s="2"/>
      <c r="G105" s="2"/>
      <c r="H105" s="2"/>
      <c r="J105" s="2"/>
      <c r="K105" s="2"/>
      <c r="L105" s="2"/>
      <c r="M105" s="2"/>
      <c r="N105" s="2"/>
      <c r="O105" s="2"/>
      <c r="P105" s="2"/>
    </row>
    <row r="106" spans="2:16" x14ac:dyDescent="0.25">
      <c r="B106" s="9"/>
      <c r="C106" s="2"/>
      <c r="D106" s="2"/>
      <c r="E106" s="2"/>
      <c r="F106" s="2"/>
      <c r="G106" s="2"/>
      <c r="H106" s="2"/>
      <c r="J106" s="2"/>
      <c r="K106" s="2"/>
      <c r="L106" s="2"/>
      <c r="M106" s="2"/>
      <c r="N106" s="2"/>
      <c r="O106" s="2"/>
      <c r="P106" s="2"/>
    </row>
    <row r="107" spans="2:16" x14ac:dyDescent="0.25">
      <c r="B107" s="9"/>
      <c r="C107" s="2"/>
      <c r="D107" s="2"/>
      <c r="E107" s="2"/>
      <c r="F107" s="2"/>
      <c r="G107" s="2"/>
      <c r="H107" s="2"/>
      <c r="J107" s="2"/>
      <c r="K107" s="2"/>
      <c r="L107" s="2"/>
      <c r="M107" s="2"/>
      <c r="N107" s="2"/>
      <c r="O107" s="2"/>
      <c r="P107" s="2"/>
    </row>
    <row r="108" spans="2:16" x14ac:dyDescent="0.25">
      <c r="B108" s="9"/>
      <c r="C108" s="2"/>
      <c r="D108" s="2"/>
      <c r="E108" s="2"/>
      <c r="F108" s="2"/>
      <c r="G108" s="2"/>
      <c r="H108" s="2"/>
      <c r="J108" s="2"/>
      <c r="K108" s="2"/>
      <c r="L108" s="2"/>
      <c r="M108" s="2"/>
      <c r="N108" s="2"/>
      <c r="O108" s="2"/>
      <c r="P108" s="2"/>
    </row>
    <row r="109" spans="2:16" x14ac:dyDescent="0.25">
      <c r="B109" s="9"/>
      <c r="C109" s="2"/>
      <c r="D109" s="2"/>
      <c r="E109" s="2"/>
      <c r="F109" s="2"/>
      <c r="G109" s="2"/>
      <c r="H109" s="2"/>
      <c r="J109" s="2"/>
      <c r="K109" s="2"/>
      <c r="L109" s="2"/>
      <c r="M109" s="2"/>
      <c r="N109" s="2"/>
      <c r="O109" s="2"/>
      <c r="P109" s="2"/>
    </row>
    <row r="110" spans="2:16" x14ac:dyDescent="0.25">
      <c r="B110" s="9"/>
      <c r="C110" s="2"/>
      <c r="D110" s="2"/>
      <c r="E110" s="2"/>
      <c r="F110" s="2"/>
      <c r="G110" s="2"/>
      <c r="H110" s="2"/>
      <c r="J110" s="2"/>
      <c r="K110" s="2"/>
      <c r="L110" s="2"/>
      <c r="M110" s="2"/>
      <c r="N110" s="2"/>
      <c r="O110" s="2"/>
      <c r="P110" s="2"/>
    </row>
    <row r="111" spans="2:16" x14ac:dyDescent="0.25">
      <c r="B111" s="9"/>
      <c r="C111" s="2"/>
      <c r="D111" s="2"/>
      <c r="E111" s="2"/>
      <c r="F111" s="2"/>
      <c r="G111" s="2"/>
      <c r="H111" s="2"/>
      <c r="J111" s="2"/>
      <c r="K111" s="2"/>
      <c r="L111" s="2"/>
      <c r="M111" s="2"/>
      <c r="N111" s="2"/>
      <c r="O111" s="2"/>
      <c r="P111" s="2"/>
    </row>
    <row r="112" spans="2:16" x14ac:dyDescent="0.25">
      <c r="B112" s="9"/>
      <c r="C112" s="2"/>
      <c r="D112" s="2"/>
      <c r="E112" s="2"/>
      <c r="F112" s="2"/>
      <c r="G112" s="2"/>
      <c r="H112" s="2"/>
      <c r="J112" s="2"/>
      <c r="K112" s="2"/>
      <c r="L112" s="2"/>
      <c r="M112" s="2"/>
      <c r="N112" s="2"/>
      <c r="O112" s="2"/>
      <c r="P112" s="2"/>
    </row>
    <row r="113" spans="2:16" x14ac:dyDescent="0.25">
      <c r="B113" s="9"/>
      <c r="C113" s="2"/>
      <c r="D113" s="2"/>
      <c r="E113" s="2"/>
      <c r="F113" s="2"/>
      <c r="G113" s="2"/>
      <c r="H113" s="2"/>
      <c r="J113" s="2"/>
      <c r="K113" s="2"/>
      <c r="L113" s="2"/>
      <c r="M113" s="2"/>
      <c r="N113" s="2"/>
      <c r="O113" s="2"/>
      <c r="P113" s="2"/>
    </row>
    <row r="114" spans="2:16" x14ac:dyDescent="0.25">
      <c r="B114" s="9"/>
      <c r="C114" s="2"/>
      <c r="D114" s="2"/>
      <c r="E114" s="2"/>
      <c r="F114" s="2"/>
      <c r="G114" s="2"/>
      <c r="H114" s="2"/>
      <c r="J114" s="2"/>
      <c r="K114" s="2"/>
      <c r="L114" s="2"/>
      <c r="M114" s="2"/>
      <c r="N114" s="2"/>
      <c r="O114" s="2"/>
      <c r="P114" s="2"/>
    </row>
    <row r="115" spans="2:16" x14ac:dyDescent="0.25">
      <c r="B115" s="9"/>
      <c r="C115" s="2"/>
      <c r="D115" s="2"/>
      <c r="E115" s="2"/>
      <c r="F115" s="2"/>
      <c r="G115" s="2"/>
      <c r="H115" s="2"/>
      <c r="J115" s="2"/>
      <c r="K115" s="2"/>
      <c r="L115" s="2"/>
      <c r="M115" s="2"/>
      <c r="N115" s="2"/>
      <c r="O115" s="2"/>
      <c r="P115" s="2"/>
    </row>
    <row r="116" spans="2:16" x14ac:dyDescent="0.25">
      <c r="B116" s="9"/>
      <c r="C116" s="2"/>
      <c r="D116" s="2"/>
      <c r="E116" s="2"/>
      <c r="F116" s="2"/>
      <c r="G116" s="2"/>
      <c r="H116" s="2"/>
      <c r="J116" s="2"/>
      <c r="K116" s="2"/>
      <c r="L116" s="2"/>
      <c r="M116" s="2"/>
      <c r="N116" s="2"/>
      <c r="O116" s="2"/>
      <c r="P116" s="2"/>
    </row>
    <row r="117" spans="2:16" x14ac:dyDescent="0.25">
      <c r="B117" s="9"/>
      <c r="C117" s="2"/>
      <c r="D117" s="2"/>
      <c r="E117" s="2"/>
      <c r="F117" s="2"/>
      <c r="G117" s="2"/>
      <c r="H117" s="2"/>
      <c r="J117" s="2"/>
      <c r="K117" s="2"/>
      <c r="L117" s="2"/>
      <c r="M117" s="2"/>
      <c r="N117" s="2"/>
      <c r="O117" s="2"/>
      <c r="P117" s="2"/>
    </row>
    <row r="118" spans="2:16" x14ac:dyDescent="0.25">
      <c r="B118" s="9"/>
      <c r="C118" s="2"/>
      <c r="D118" s="2"/>
      <c r="E118" s="2"/>
      <c r="F118" s="2"/>
      <c r="G118" s="2"/>
      <c r="H118" s="2"/>
      <c r="J118" s="2"/>
      <c r="K118" s="2"/>
      <c r="L118" s="2"/>
      <c r="M118" s="2"/>
      <c r="N118" s="2"/>
      <c r="O118" s="2"/>
      <c r="P118" s="2"/>
    </row>
    <row r="119" spans="2:16" x14ac:dyDescent="0.25">
      <c r="B119" s="9"/>
      <c r="C119" s="2"/>
      <c r="D119" s="2"/>
      <c r="E119" s="2"/>
      <c r="F119" s="2"/>
      <c r="G119" s="2"/>
      <c r="H119" s="2"/>
      <c r="J119" s="2"/>
      <c r="K119" s="2"/>
      <c r="L119" s="2"/>
      <c r="M119" s="2"/>
      <c r="N119" s="2"/>
      <c r="O119" s="2"/>
      <c r="P119" s="2"/>
    </row>
    <row r="120" spans="2:16" x14ac:dyDescent="0.25">
      <c r="B120" s="9"/>
      <c r="C120" s="2"/>
      <c r="D120" s="2"/>
      <c r="E120" s="2"/>
      <c r="F120" s="2"/>
      <c r="G120" s="2"/>
      <c r="H120" s="2"/>
      <c r="J120" s="2"/>
      <c r="K120" s="2"/>
      <c r="L120" s="2"/>
      <c r="M120" s="2"/>
      <c r="N120" s="2"/>
      <c r="O120" s="2"/>
      <c r="P120" s="2"/>
    </row>
    <row r="121" spans="2:16" x14ac:dyDescent="0.25">
      <c r="B121" s="9"/>
      <c r="C121" s="2"/>
      <c r="D121" s="2"/>
      <c r="E121" s="2"/>
      <c r="F121" s="2"/>
      <c r="G121" s="2"/>
      <c r="H121" s="2"/>
      <c r="J121" s="2"/>
      <c r="K121" s="2"/>
      <c r="L121" s="2"/>
      <c r="M121" s="2"/>
      <c r="N121" s="2"/>
      <c r="O121" s="2"/>
      <c r="P121" s="2"/>
    </row>
    <row r="122" spans="2:16" x14ac:dyDescent="0.25">
      <c r="B122" s="9"/>
      <c r="C122" s="2"/>
      <c r="D122" s="2"/>
      <c r="E122" s="2"/>
      <c r="F122" s="2"/>
      <c r="G122" s="2"/>
      <c r="H122" s="2"/>
      <c r="J122" s="2"/>
      <c r="K122" s="2"/>
      <c r="L122" s="2"/>
      <c r="M122" s="2"/>
      <c r="N122" s="2"/>
      <c r="O122" s="2"/>
      <c r="P122" s="2"/>
    </row>
    <row r="123" spans="2:16" x14ac:dyDescent="0.25">
      <c r="B123" s="9"/>
      <c r="C123" s="2"/>
      <c r="D123" s="2"/>
      <c r="E123" s="2"/>
      <c r="F123" s="2"/>
      <c r="G123" s="2"/>
      <c r="H123" s="2"/>
      <c r="J123" s="2"/>
      <c r="K123" s="2"/>
      <c r="L123" s="2"/>
      <c r="M123" s="2"/>
      <c r="N123" s="2"/>
      <c r="O123" s="2"/>
      <c r="P123" s="2"/>
    </row>
    <row r="124" spans="2:16" x14ac:dyDescent="0.25">
      <c r="B124" s="9"/>
      <c r="C124" s="2"/>
      <c r="D124" s="2"/>
      <c r="E124" s="2"/>
      <c r="F124" s="2"/>
      <c r="G124" s="2"/>
      <c r="H124" s="2"/>
      <c r="J124" s="2"/>
      <c r="K124" s="2"/>
      <c r="L124" s="2"/>
      <c r="M124" s="2"/>
      <c r="N124" s="2"/>
      <c r="O124" s="2"/>
      <c r="P124" s="2"/>
    </row>
    <row r="125" spans="2:16" x14ac:dyDescent="0.25">
      <c r="B125" s="9"/>
      <c r="C125" s="2"/>
      <c r="D125" s="2"/>
      <c r="E125" s="2"/>
      <c r="F125" s="2"/>
      <c r="G125" s="2"/>
      <c r="H125" s="2"/>
      <c r="J125" s="2"/>
      <c r="K125" s="2"/>
      <c r="L125" s="2"/>
      <c r="M125" s="2"/>
      <c r="N125" s="2"/>
      <c r="O125" s="2"/>
      <c r="P125" s="2"/>
    </row>
    <row r="126" spans="2:16" x14ac:dyDescent="0.25">
      <c r="B126" s="9"/>
      <c r="C126" s="2"/>
      <c r="D126" s="2"/>
      <c r="E126" s="2"/>
      <c r="F126" s="2"/>
      <c r="G126" s="2"/>
      <c r="H126" s="2"/>
      <c r="J126" s="2"/>
      <c r="K126" s="2"/>
      <c r="L126" s="2"/>
      <c r="M126" s="2"/>
      <c r="N126" s="2"/>
      <c r="O126" s="2"/>
      <c r="P126" s="2"/>
    </row>
    <row r="127" spans="2:16" x14ac:dyDescent="0.25">
      <c r="B127" s="9"/>
      <c r="C127" s="2"/>
      <c r="D127" s="2"/>
      <c r="E127" s="2"/>
      <c r="F127" s="2"/>
      <c r="G127" s="2"/>
      <c r="H127" s="2"/>
      <c r="J127" s="2"/>
      <c r="K127" s="2"/>
      <c r="L127" s="2"/>
      <c r="M127" s="2"/>
      <c r="N127" s="2"/>
      <c r="O127" s="2"/>
      <c r="P127" s="2"/>
    </row>
    <row r="128" spans="2:16" x14ac:dyDescent="0.25">
      <c r="B128" s="9"/>
      <c r="C128" s="2"/>
      <c r="D128" s="2"/>
      <c r="E128" s="2"/>
      <c r="F128" s="2"/>
      <c r="G128" s="2"/>
      <c r="H128" s="2"/>
      <c r="J128" s="2"/>
      <c r="K128" s="2"/>
      <c r="L128" s="2"/>
      <c r="M128" s="2"/>
      <c r="N128" s="2"/>
      <c r="O128" s="2"/>
      <c r="P128" s="2"/>
    </row>
    <row r="129" spans="1:25" x14ac:dyDescent="0.25">
      <c r="B129" s="9"/>
      <c r="C129" s="2"/>
      <c r="D129" s="2"/>
      <c r="E129" s="2"/>
      <c r="F129" s="2"/>
      <c r="G129" s="2"/>
      <c r="H129" s="2"/>
      <c r="J129" s="2"/>
      <c r="K129" s="2"/>
      <c r="L129" s="2"/>
      <c r="M129" s="2"/>
      <c r="N129" s="2"/>
      <c r="O129" s="2"/>
      <c r="P129" s="2"/>
    </row>
    <row r="130" spans="1:25" x14ac:dyDescent="0.25">
      <c r="B130" s="9"/>
      <c r="C130" s="2"/>
      <c r="D130" s="2"/>
      <c r="E130" s="2"/>
      <c r="F130" s="2"/>
      <c r="G130" s="2"/>
      <c r="H130" s="2"/>
      <c r="J130" s="2"/>
      <c r="K130" s="2"/>
      <c r="L130" s="2"/>
      <c r="M130" s="2"/>
      <c r="N130" s="2"/>
      <c r="O130" s="2"/>
      <c r="P130" s="2"/>
    </row>
    <row r="131" spans="1:25" x14ac:dyDescent="0.25">
      <c r="B131" s="9"/>
      <c r="C131" s="2"/>
      <c r="D131" s="2"/>
      <c r="E131" s="2"/>
      <c r="F131" s="2"/>
      <c r="G131" s="2"/>
      <c r="H131" s="2"/>
      <c r="J131" s="2"/>
      <c r="K131" s="2"/>
      <c r="L131" s="2"/>
      <c r="M131" s="2"/>
      <c r="N131" s="2"/>
      <c r="O131" s="2"/>
      <c r="P131" s="2"/>
    </row>
    <row r="132" spans="1:25" x14ac:dyDescent="0.25">
      <c r="B132" s="9"/>
      <c r="C132" s="2"/>
      <c r="D132" s="2"/>
      <c r="E132" s="2"/>
      <c r="F132" s="2"/>
      <c r="G132" s="2"/>
      <c r="H132" s="2"/>
      <c r="J132" s="2"/>
      <c r="K132" s="2"/>
      <c r="L132" s="2"/>
      <c r="M132" s="2"/>
      <c r="N132" s="2"/>
      <c r="O132" s="2"/>
      <c r="P132" s="2"/>
    </row>
    <row r="133" spans="1:25" x14ac:dyDescent="0.25">
      <c r="B133" s="9"/>
      <c r="C133" s="2"/>
      <c r="D133" s="2"/>
      <c r="E133" s="2"/>
      <c r="F133" s="2"/>
      <c r="G133" s="2"/>
      <c r="H133" s="2"/>
      <c r="J133" s="2"/>
      <c r="K133" s="2"/>
      <c r="L133" s="2"/>
      <c r="M133" s="2"/>
      <c r="N133" s="2"/>
      <c r="O133" s="2"/>
      <c r="P133" s="2"/>
    </row>
    <row r="134" spans="1:25" x14ac:dyDescent="0.25">
      <c r="B134" s="9"/>
      <c r="C134" s="2"/>
      <c r="D134" s="2"/>
      <c r="E134" s="2"/>
      <c r="F134" s="2"/>
      <c r="G134" s="2"/>
      <c r="H134" s="2"/>
      <c r="J134" s="2"/>
      <c r="K134" s="2"/>
      <c r="L134" s="2"/>
      <c r="M134" s="2"/>
      <c r="N134" s="2"/>
      <c r="O134" s="2"/>
      <c r="P134" s="2"/>
    </row>
    <row r="135" spans="1:25" x14ac:dyDescent="0.25">
      <c r="B135" s="9"/>
      <c r="C135" s="2"/>
      <c r="D135" s="2"/>
      <c r="E135" s="2"/>
      <c r="F135" s="2"/>
      <c r="G135" s="2"/>
      <c r="H135" s="2"/>
      <c r="J135" s="2"/>
      <c r="K135" s="2"/>
      <c r="L135" s="2"/>
      <c r="M135" s="2"/>
      <c r="N135" s="2"/>
      <c r="O135" s="2"/>
      <c r="P135" s="2"/>
    </row>
    <row r="136" spans="1:25" x14ac:dyDescent="0.25">
      <c r="B136" s="9"/>
      <c r="C136" s="2"/>
      <c r="D136" s="2"/>
      <c r="E136" s="2"/>
      <c r="F136" s="2"/>
      <c r="G136" s="2"/>
      <c r="H136" s="2"/>
      <c r="J136" s="2"/>
      <c r="K136" s="2"/>
      <c r="L136" s="2"/>
      <c r="M136" s="2"/>
      <c r="N136" s="2"/>
      <c r="O136" s="2"/>
      <c r="P136" s="2"/>
    </row>
    <row r="137" spans="1:25" x14ac:dyDescent="0.25">
      <c r="B137" s="9"/>
      <c r="C137" s="2"/>
      <c r="D137" s="2"/>
      <c r="E137" s="2"/>
      <c r="F137" s="2"/>
      <c r="G137" s="2"/>
      <c r="H137" s="2"/>
      <c r="J137" s="2"/>
      <c r="K137" s="2"/>
      <c r="L137" s="2"/>
      <c r="M137" s="2"/>
      <c r="N137" s="2"/>
      <c r="O137" s="2"/>
      <c r="P137" s="2"/>
    </row>
    <row r="138" spans="1:25" x14ac:dyDescent="0.25">
      <c r="B138" s="9"/>
      <c r="C138" s="2"/>
      <c r="D138" s="2"/>
      <c r="E138" s="2"/>
      <c r="F138" s="2"/>
      <c r="G138" s="2"/>
      <c r="H138" s="2"/>
      <c r="J138" s="2"/>
      <c r="K138" s="2"/>
      <c r="L138" s="2"/>
      <c r="M138" s="2"/>
      <c r="N138" s="2"/>
      <c r="O138" s="2"/>
      <c r="P138" s="2"/>
    </row>
    <row r="139" spans="1:25" x14ac:dyDescent="0.25">
      <c r="B139" s="9"/>
      <c r="C139" s="2"/>
      <c r="D139" s="2"/>
      <c r="E139" s="2"/>
      <c r="F139" s="2"/>
      <c r="G139" s="2"/>
      <c r="H139" s="2"/>
      <c r="J139" s="2"/>
      <c r="K139" s="2"/>
      <c r="L139" s="2"/>
      <c r="M139" s="2"/>
      <c r="N139" s="2"/>
      <c r="O139" s="2"/>
      <c r="P139" s="2"/>
    </row>
    <row r="140" spans="1:25" x14ac:dyDescent="0.25">
      <c r="B140" s="77" t="s">
        <v>84</v>
      </c>
      <c r="C140" s="2"/>
      <c r="D140" s="2"/>
      <c r="E140" s="2"/>
      <c r="F140" s="2"/>
      <c r="G140" s="2"/>
      <c r="H140" s="2"/>
      <c r="J140" s="2"/>
      <c r="K140" s="2"/>
      <c r="L140" s="2"/>
      <c r="M140" s="2"/>
      <c r="N140" s="2"/>
      <c r="O140" s="2"/>
      <c r="P140" s="2"/>
    </row>
    <row r="141" spans="1:25" x14ac:dyDescent="0.25">
      <c r="A141" s="9"/>
      <c r="B141" s="9"/>
      <c r="C141" s="9" t="s">
        <v>85</v>
      </c>
      <c r="D141" s="9" t="s">
        <v>86</v>
      </c>
      <c r="E141" s="9" t="s">
        <v>87</v>
      </c>
      <c r="F141" s="9"/>
      <c r="G141" s="9"/>
      <c r="H141" s="9" t="s">
        <v>76</v>
      </c>
      <c r="I141" s="9"/>
      <c r="J141" s="9" t="s">
        <v>75</v>
      </c>
      <c r="K141" s="9"/>
      <c r="L141" s="9"/>
      <c r="M141" s="9"/>
      <c r="N141" s="9"/>
      <c r="O141" s="9"/>
      <c r="P141" s="9"/>
      <c r="Q141" s="9"/>
      <c r="R141" s="9"/>
      <c r="S141" s="9"/>
      <c r="T141" s="9"/>
      <c r="U141" s="9"/>
      <c r="V141" s="9"/>
      <c r="W141" s="9"/>
      <c r="X141" s="9"/>
      <c r="Y141" s="9"/>
    </row>
    <row r="142" spans="1:25" x14ac:dyDescent="0.25">
      <c r="B142" s="9"/>
      <c r="C142" s="79" t="s">
        <v>79</v>
      </c>
      <c r="D142" s="79" t="s">
        <v>79</v>
      </c>
      <c r="E142" s="79" t="s">
        <v>79</v>
      </c>
      <c r="F142" s="2"/>
      <c r="G142" s="2"/>
      <c r="H142" s="79" t="s">
        <v>79</v>
      </c>
      <c r="J142" s="2"/>
      <c r="K142" s="2"/>
      <c r="L142" s="2"/>
      <c r="M142" s="2"/>
      <c r="N142" s="2"/>
      <c r="O142" s="2"/>
      <c r="P142" s="2"/>
    </row>
    <row r="143" spans="1:25" x14ac:dyDescent="0.25">
      <c r="B143" s="9"/>
      <c r="C143" s="18" t="s">
        <v>88</v>
      </c>
      <c r="D143" s="2" t="s">
        <v>89</v>
      </c>
      <c r="E143" s="2" t="s">
        <v>90</v>
      </c>
      <c r="F143" s="2"/>
      <c r="G143" s="2"/>
      <c r="H143" s="2" t="s">
        <v>91</v>
      </c>
      <c r="J143" s="2" t="s">
        <v>92</v>
      </c>
      <c r="K143" s="2"/>
      <c r="L143" s="2"/>
      <c r="M143" s="2"/>
      <c r="N143" s="2"/>
      <c r="O143" s="2"/>
      <c r="P143" s="2"/>
    </row>
    <row r="144" spans="1:25" x14ac:dyDescent="0.25">
      <c r="B144" s="9"/>
      <c r="C144" s="2" t="s">
        <v>93</v>
      </c>
      <c r="D144" s="2" t="s">
        <v>94</v>
      </c>
      <c r="E144" s="2" t="s">
        <v>95</v>
      </c>
      <c r="F144" s="2"/>
      <c r="G144" s="2"/>
      <c r="H144" s="2" t="s">
        <v>96</v>
      </c>
      <c r="J144" s="2" t="s">
        <v>97</v>
      </c>
      <c r="K144" s="2"/>
      <c r="L144" s="2"/>
      <c r="M144" s="2"/>
      <c r="N144" s="2"/>
      <c r="O144" s="2"/>
      <c r="P144" s="2"/>
    </row>
    <row r="145" spans="2:16" x14ac:dyDescent="0.25">
      <c r="B145" s="9"/>
      <c r="C145" s="2" t="s">
        <v>98</v>
      </c>
      <c r="D145" s="2" t="s">
        <v>99</v>
      </c>
      <c r="E145" s="2" t="s">
        <v>100</v>
      </c>
      <c r="F145" s="2"/>
      <c r="G145" s="2"/>
      <c r="H145" s="2" t="s">
        <v>101</v>
      </c>
      <c r="J145" s="2"/>
      <c r="K145" s="2"/>
      <c r="L145" s="2"/>
      <c r="M145" s="2"/>
      <c r="N145" s="2"/>
      <c r="O145" s="2"/>
      <c r="P145" s="2"/>
    </row>
    <row r="146" spans="2:16" x14ac:dyDescent="0.25">
      <c r="B146" s="9"/>
      <c r="C146" s="2" t="s">
        <v>102</v>
      </c>
      <c r="D146" s="2" t="s">
        <v>103</v>
      </c>
      <c r="E146" s="2" t="s">
        <v>104</v>
      </c>
      <c r="F146" s="2"/>
      <c r="G146" s="2"/>
      <c r="H146" s="2" t="s">
        <v>105</v>
      </c>
      <c r="J146" s="2"/>
      <c r="K146" s="2"/>
      <c r="L146" s="2"/>
      <c r="M146" s="2"/>
      <c r="N146" s="2"/>
      <c r="O146" s="2"/>
      <c r="P146" s="2"/>
    </row>
    <row r="147" spans="2:16" x14ac:dyDescent="0.25">
      <c r="B147" s="9"/>
      <c r="C147" s="2" t="s">
        <v>106</v>
      </c>
      <c r="D147" s="2"/>
      <c r="E147" s="2" t="s">
        <v>107</v>
      </c>
      <c r="F147" s="2"/>
      <c r="G147" s="2"/>
      <c r="H147" s="2" t="s">
        <v>107</v>
      </c>
      <c r="J147" s="2"/>
      <c r="K147" s="2"/>
      <c r="L147" s="2"/>
      <c r="M147" s="2"/>
      <c r="N147" s="2"/>
      <c r="O147" s="2"/>
      <c r="P147" s="2"/>
    </row>
    <row r="148" spans="2:16" x14ac:dyDescent="0.25">
      <c r="B148" s="9"/>
      <c r="C148" s="2" t="s">
        <v>108</v>
      </c>
      <c r="D148" s="2"/>
      <c r="E148" s="2"/>
      <c r="F148" s="2"/>
      <c r="G148" s="2"/>
      <c r="H148" s="2"/>
      <c r="J148" s="2"/>
      <c r="K148" s="2"/>
      <c r="L148" s="2"/>
      <c r="M148" s="2"/>
      <c r="N148" s="2"/>
      <c r="O148" s="2"/>
      <c r="P148" s="2"/>
    </row>
    <row r="149" spans="2:16" x14ac:dyDescent="0.25">
      <c r="B149" s="9"/>
      <c r="C149" s="2" t="s">
        <v>109</v>
      </c>
      <c r="D149" s="2"/>
      <c r="E149" s="2"/>
      <c r="F149" s="2"/>
      <c r="G149" s="2"/>
      <c r="H149" s="2"/>
      <c r="J149" s="2"/>
      <c r="K149" s="2"/>
      <c r="L149" s="2"/>
      <c r="M149" s="2"/>
      <c r="N149" s="2"/>
      <c r="O149" s="2"/>
      <c r="P149" s="2"/>
    </row>
    <row r="150" spans="2:16" x14ac:dyDescent="0.25">
      <c r="B150" s="9"/>
      <c r="C150" s="2" t="s">
        <v>110</v>
      </c>
      <c r="D150" s="2"/>
      <c r="E150" s="2"/>
      <c r="F150" s="2"/>
      <c r="G150" s="2"/>
      <c r="H150" s="2"/>
      <c r="J150" s="2"/>
      <c r="K150" s="2"/>
      <c r="L150" s="2"/>
      <c r="M150" s="2"/>
      <c r="N150" s="2"/>
      <c r="O150" s="2"/>
      <c r="P150" s="2"/>
    </row>
    <row r="151" spans="2:16" x14ac:dyDescent="0.25">
      <c r="B151" s="9"/>
      <c r="C151" s="18" t="s">
        <v>111</v>
      </c>
      <c r="D151" s="2"/>
      <c r="E151" s="2"/>
      <c r="F151" s="2"/>
      <c r="G151" s="2"/>
      <c r="H151" s="2"/>
      <c r="J151" s="2"/>
      <c r="K151" s="2"/>
      <c r="L151" s="2"/>
      <c r="M151" s="2"/>
      <c r="N151" s="2"/>
      <c r="O151" s="2"/>
      <c r="P151" s="2"/>
    </row>
  </sheetData>
  <sheetProtection formatCells="0" formatRows="0" insertRows="0" insertHyperlinks="0" deleteRows="0" selectLockedCells="1"/>
  <mergeCells count="99">
    <mergeCell ref="S64:Y64"/>
    <mergeCell ref="S65:Y65"/>
    <mergeCell ref="S66:Y66"/>
    <mergeCell ref="S59:Y59"/>
    <mergeCell ref="J60:P60"/>
    <mergeCell ref="S60:Y60"/>
    <mergeCell ref="J61:P61"/>
    <mergeCell ref="S61:Y61"/>
    <mergeCell ref="S62:Y62"/>
    <mergeCell ref="S63:Y63"/>
    <mergeCell ref="S54:Y54"/>
    <mergeCell ref="J55:P55"/>
    <mergeCell ref="S55:Y55"/>
    <mergeCell ref="J56:P56"/>
    <mergeCell ref="S56:Y56"/>
    <mergeCell ref="J57:P57"/>
    <mergeCell ref="S57:Y57"/>
    <mergeCell ref="J58:P58"/>
    <mergeCell ref="S58:Y58"/>
    <mergeCell ref="S67:Y67"/>
    <mergeCell ref="R40:X40"/>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7:C17"/>
    <mergeCell ref="D17:E17"/>
    <mergeCell ref="B20:P20"/>
    <mergeCell ref="J22:P22"/>
    <mergeCell ref="J27:P27"/>
    <mergeCell ref="J23:P23"/>
    <mergeCell ref="B13:C13"/>
    <mergeCell ref="D13:E13"/>
    <mergeCell ref="G13:O16"/>
    <mergeCell ref="B14:C14"/>
    <mergeCell ref="D14:E14"/>
    <mergeCell ref="B15:C15"/>
    <mergeCell ref="D15:E15"/>
    <mergeCell ref="B16:C16"/>
    <mergeCell ref="D16:E16"/>
    <mergeCell ref="J24:P24"/>
    <mergeCell ref="J25:P25"/>
    <mergeCell ref="J26:P26"/>
    <mergeCell ref="J29:P29"/>
    <mergeCell ref="J30:P30"/>
    <mergeCell ref="J28:P28"/>
    <mergeCell ref="J32:P32"/>
    <mergeCell ref="J43:P43"/>
    <mergeCell ref="B71:P71"/>
    <mergeCell ref="J39:P39"/>
    <mergeCell ref="J41:P41"/>
    <mergeCell ref="J42:P42"/>
    <mergeCell ref="J68:P68"/>
    <mergeCell ref="J47:P47"/>
    <mergeCell ref="J31:P31"/>
    <mergeCell ref="J35:P35"/>
    <mergeCell ref="J36:P36"/>
    <mergeCell ref="J62:P62"/>
    <mergeCell ref="J48:P48"/>
    <mergeCell ref="J49:P49"/>
    <mergeCell ref="J50:P50"/>
    <mergeCell ref="J51:P51"/>
    <mergeCell ref="J52:P52"/>
    <mergeCell ref="J53:P53"/>
    <mergeCell ref="J54:P54"/>
    <mergeCell ref="J59:P59"/>
    <mergeCell ref="J33:P33"/>
    <mergeCell ref="J34:P34"/>
    <mergeCell ref="J37:P37"/>
    <mergeCell ref="J38:P38"/>
    <mergeCell ref="J40:P40"/>
    <mergeCell ref="N78:P78"/>
    <mergeCell ref="N74:P74"/>
    <mergeCell ref="N76:P76"/>
    <mergeCell ref="J44:P44"/>
    <mergeCell ref="J45:P45"/>
    <mergeCell ref="J46:P46"/>
    <mergeCell ref="N73:P73"/>
    <mergeCell ref="J63:P63"/>
    <mergeCell ref="J64:P64"/>
    <mergeCell ref="J65:P65"/>
    <mergeCell ref="J66:P66"/>
    <mergeCell ref="N77:P77"/>
    <mergeCell ref="N75:P75"/>
    <mergeCell ref="B80:P80"/>
    <mergeCell ref="N82:P82"/>
    <mergeCell ref="N83:P83"/>
    <mergeCell ref="N84:P84"/>
    <mergeCell ref="J67:P67"/>
  </mergeCells>
  <conditionalFormatting sqref="H74 H76 H83:H84">
    <cfRule type="cellIs" dxfId="11" priority="38" stopIfTrue="1" operator="equal">
      <formula>0</formula>
    </cfRule>
  </conditionalFormatting>
  <conditionalFormatting sqref="G74 G76:G77 G83:G84">
    <cfRule type="cellIs" dxfId="10" priority="37" stopIfTrue="1" operator="equal">
      <formula>1</formula>
    </cfRule>
  </conditionalFormatting>
  <conditionalFormatting sqref="H75">
    <cfRule type="cellIs" dxfId="9" priority="36" stopIfTrue="1" operator="equal">
      <formula>0</formula>
    </cfRule>
  </conditionalFormatting>
  <conditionalFormatting sqref="G75">
    <cfRule type="cellIs" dxfId="8" priority="35" stopIfTrue="1" operator="equal">
      <formula>1</formula>
    </cfRule>
  </conditionalFormatting>
  <conditionalFormatting sqref="H77">
    <cfRule type="cellIs" dxfId="7" priority="4" stopIfTrue="1" operator="equal">
      <formula>0</formula>
    </cfRule>
  </conditionalFormatting>
  <dataValidations count="9">
    <dataValidation type="list" allowBlank="1" showInputMessage="1" showErrorMessage="1" sqref="L74:L76 L83">
      <formula1>$H$142:$H$147</formula1>
    </dataValidation>
    <dataValidation type="list" allowBlank="1" showInputMessage="1" showErrorMessage="1" sqref="K74:K76 K83">
      <formula1>$J$142:$J$144</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$C$142:$C$151</formula1>
    </dataValidation>
    <dataValidation type="list" allowBlank="1" showInputMessage="1" showErrorMessage="1" sqref="D14:E14">
      <formula1>$D$142:$D$146</formula1>
    </dataValidation>
    <dataValidation type="list" allowBlank="1" showInputMessage="1" showErrorMessage="1" sqref="D16:E16">
      <formula1>$E$142:$E$147</formula1>
    </dataValidation>
    <dataValidation type="list" allowBlank="1" showInputMessage="1" showErrorMessage="1" sqref="K77">
      <formula1>$J$272:$J$274</formula1>
    </dataValidation>
    <dataValidation type="list" allowBlank="1" showInputMessage="1" showErrorMessage="1" sqref="L77">
      <formula1>$H$272:$H$277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47625</xdr:colOff>
                <xdr:row>16</xdr:row>
                <xdr:rowOff>38100</xdr:rowOff>
              </from>
              <to>
                <xdr:col>3</xdr:col>
                <xdr:colOff>771525</xdr:colOff>
                <xdr:row>16</xdr:row>
                <xdr:rowOff>247650</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752475</xdr:colOff>
                <xdr:row>16</xdr:row>
                <xdr:rowOff>38100</xdr:rowOff>
              </from>
              <to>
                <xdr:col>3</xdr:col>
                <xdr:colOff>1628775</xdr:colOff>
                <xdr:row>16</xdr:row>
                <xdr:rowOff>247650</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1581150</xdr:colOff>
                <xdr:row>16</xdr:row>
                <xdr:rowOff>38100</xdr:rowOff>
              </from>
              <to>
                <xdr:col>3</xdr:col>
                <xdr:colOff>2533650</xdr:colOff>
                <xdr:row>16</xdr:row>
                <xdr:rowOff>247650</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2476500</xdr:colOff>
                <xdr:row>16</xdr:row>
                <xdr:rowOff>38100</xdr:rowOff>
              </from>
              <to>
                <xdr:col>3</xdr:col>
                <xdr:colOff>3486150</xdr:colOff>
                <xdr:row>16</xdr:row>
                <xdr:rowOff>238125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14"/>
  <sheetViews>
    <sheetView workbookViewId="0">
      <selection activeCell="C23" sqref="C23"/>
    </sheetView>
  </sheetViews>
  <sheetFormatPr defaultColWidth="9.140625" defaultRowHeight="15" x14ac:dyDescent="0.25"/>
  <cols>
    <col min="1" max="1" width="3.5703125" customWidth="1"/>
    <col min="2" max="2" width="24.42578125" customWidth="1"/>
    <col min="3" max="3" width="41.28515625" customWidth="1"/>
    <col min="4" max="4" width="16.5703125" customWidth="1"/>
    <col min="5" max="5" width="83.85546875" customWidth="1"/>
    <col min="255" max="255" width="2.5703125" customWidth="1"/>
    <col min="256" max="256" width="24.42578125" customWidth="1"/>
    <col min="257" max="257" width="32.140625" customWidth="1"/>
    <col min="258" max="260" width="16.5703125" customWidth="1"/>
    <col min="261" max="261" width="83.85546875" customWidth="1"/>
    <col min="511" max="511" width="2.5703125" customWidth="1"/>
    <col min="512" max="512" width="24.42578125" customWidth="1"/>
    <col min="513" max="513" width="32.140625" customWidth="1"/>
    <col min="514" max="516" width="16.5703125" customWidth="1"/>
    <col min="517" max="517" width="83.85546875" customWidth="1"/>
    <col min="767" max="767" width="2.5703125" customWidth="1"/>
    <col min="768" max="768" width="24.42578125" customWidth="1"/>
    <col min="769" max="769" width="32.140625" customWidth="1"/>
    <col min="770" max="772" width="16.5703125" customWidth="1"/>
    <col min="773" max="773" width="83.85546875" customWidth="1"/>
    <col min="1023" max="1023" width="2.5703125" customWidth="1"/>
    <col min="1024" max="1024" width="24.42578125" customWidth="1"/>
    <col min="1025" max="1025" width="32.140625" customWidth="1"/>
    <col min="1026" max="1028" width="16.5703125" customWidth="1"/>
    <col min="1029" max="1029" width="83.85546875" customWidth="1"/>
    <col min="1279" max="1279" width="2.5703125" customWidth="1"/>
    <col min="1280" max="1280" width="24.42578125" customWidth="1"/>
    <col min="1281" max="1281" width="32.140625" customWidth="1"/>
    <col min="1282" max="1284" width="16.5703125" customWidth="1"/>
    <col min="1285" max="1285" width="83.85546875" customWidth="1"/>
    <col min="1535" max="1535" width="2.5703125" customWidth="1"/>
    <col min="1536" max="1536" width="24.42578125" customWidth="1"/>
    <col min="1537" max="1537" width="32.140625" customWidth="1"/>
    <col min="1538" max="1540" width="16.5703125" customWidth="1"/>
    <col min="1541" max="1541" width="83.85546875" customWidth="1"/>
    <col min="1791" max="1791" width="2.5703125" customWidth="1"/>
    <col min="1792" max="1792" width="24.42578125" customWidth="1"/>
    <col min="1793" max="1793" width="32.140625" customWidth="1"/>
    <col min="1794" max="1796" width="16.5703125" customWidth="1"/>
    <col min="1797" max="1797" width="83.85546875" customWidth="1"/>
    <col min="2047" max="2047" width="2.5703125" customWidth="1"/>
    <col min="2048" max="2048" width="24.42578125" customWidth="1"/>
    <col min="2049" max="2049" width="32.140625" customWidth="1"/>
    <col min="2050" max="2052" width="16.5703125" customWidth="1"/>
    <col min="2053" max="2053" width="83.85546875" customWidth="1"/>
    <col min="2303" max="2303" width="2.5703125" customWidth="1"/>
    <col min="2304" max="2304" width="24.42578125" customWidth="1"/>
    <col min="2305" max="2305" width="32.140625" customWidth="1"/>
    <col min="2306" max="2308" width="16.5703125" customWidth="1"/>
    <col min="2309" max="2309" width="83.85546875" customWidth="1"/>
    <col min="2559" max="2559" width="2.5703125" customWidth="1"/>
    <col min="2560" max="2560" width="24.42578125" customWidth="1"/>
    <col min="2561" max="2561" width="32.140625" customWidth="1"/>
    <col min="2562" max="2564" width="16.5703125" customWidth="1"/>
    <col min="2565" max="2565" width="83.85546875" customWidth="1"/>
    <col min="2815" max="2815" width="2.5703125" customWidth="1"/>
    <col min="2816" max="2816" width="24.42578125" customWidth="1"/>
    <col min="2817" max="2817" width="32.140625" customWidth="1"/>
    <col min="2818" max="2820" width="16.5703125" customWidth="1"/>
    <col min="2821" max="2821" width="83.85546875" customWidth="1"/>
    <col min="3071" max="3071" width="2.5703125" customWidth="1"/>
    <col min="3072" max="3072" width="24.42578125" customWidth="1"/>
    <col min="3073" max="3073" width="32.140625" customWidth="1"/>
    <col min="3074" max="3076" width="16.5703125" customWidth="1"/>
    <col min="3077" max="3077" width="83.85546875" customWidth="1"/>
    <col min="3327" max="3327" width="2.5703125" customWidth="1"/>
    <col min="3328" max="3328" width="24.42578125" customWidth="1"/>
    <col min="3329" max="3329" width="32.140625" customWidth="1"/>
    <col min="3330" max="3332" width="16.5703125" customWidth="1"/>
    <col min="3333" max="3333" width="83.85546875" customWidth="1"/>
    <col min="3583" max="3583" width="2.5703125" customWidth="1"/>
    <col min="3584" max="3584" width="24.42578125" customWidth="1"/>
    <col min="3585" max="3585" width="32.140625" customWidth="1"/>
    <col min="3586" max="3588" width="16.5703125" customWidth="1"/>
    <col min="3589" max="3589" width="83.85546875" customWidth="1"/>
    <col min="3839" max="3839" width="2.5703125" customWidth="1"/>
    <col min="3840" max="3840" width="24.42578125" customWidth="1"/>
    <col min="3841" max="3841" width="32.140625" customWidth="1"/>
    <col min="3842" max="3844" width="16.5703125" customWidth="1"/>
    <col min="3845" max="3845" width="83.85546875" customWidth="1"/>
    <col min="4095" max="4095" width="2.5703125" customWidth="1"/>
    <col min="4096" max="4096" width="24.42578125" customWidth="1"/>
    <col min="4097" max="4097" width="32.140625" customWidth="1"/>
    <col min="4098" max="4100" width="16.5703125" customWidth="1"/>
    <col min="4101" max="4101" width="83.85546875" customWidth="1"/>
    <col min="4351" max="4351" width="2.5703125" customWidth="1"/>
    <col min="4352" max="4352" width="24.42578125" customWidth="1"/>
    <col min="4353" max="4353" width="32.140625" customWidth="1"/>
    <col min="4354" max="4356" width="16.5703125" customWidth="1"/>
    <col min="4357" max="4357" width="83.85546875" customWidth="1"/>
    <col min="4607" max="4607" width="2.5703125" customWidth="1"/>
    <col min="4608" max="4608" width="24.42578125" customWidth="1"/>
    <col min="4609" max="4609" width="32.140625" customWidth="1"/>
    <col min="4610" max="4612" width="16.5703125" customWidth="1"/>
    <col min="4613" max="4613" width="83.85546875" customWidth="1"/>
    <col min="4863" max="4863" width="2.5703125" customWidth="1"/>
    <col min="4864" max="4864" width="24.42578125" customWidth="1"/>
    <col min="4865" max="4865" width="32.140625" customWidth="1"/>
    <col min="4866" max="4868" width="16.5703125" customWidth="1"/>
    <col min="4869" max="4869" width="83.85546875" customWidth="1"/>
    <col min="5119" max="5119" width="2.5703125" customWidth="1"/>
    <col min="5120" max="5120" width="24.42578125" customWidth="1"/>
    <col min="5121" max="5121" width="32.140625" customWidth="1"/>
    <col min="5122" max="5124" width="16.5703125" customWidth="1"/>
    <col min="5125" max="5125" width="83.85546875" customWidth="1"/>
    <col min="5375" max="5375" width="2.5703125" customWidth="1"/>
    <col min="5376" max="5376" width="24.42578125" customWidth="1"/>
    <col min="5377" max="5377" width="32.140625" customWidth="1"/>
    <col min="5378" max="5380" width="16.5703125" customWidth="1"/>
    <col min="5381" max="5381" width="83.85546875" customWidth="1"/>
    <col min="5631" max="5631" width="2.5703125" customWidth="1"/>
    <col min="5632" max="5632" width="24.42578125" customWidth="1"/>
    <col min="5633" max="5633" width="32.140625" customWidth="1"/>
    <col min="5634" max="5636" width="16.5703125" customWidth="1"/>
    <col min="5637" max="5637" width="83.85546875" customWidth="1"/>
    <col min="5887" max="5887" width="2.5703125" customWidth="1"/>
    <col min="5888" max="5888" width="24.42578125" customWidth="1"/>
    <col min="5889" max="5889" width="32.140625" customWidth="1"/>
    <col min="5890" max="5892" width="16.5703125" customWidth="1"/>
    <col min="5893" max="5893" width="83.85546875" customWidth="1"/>
    <col min="6143" max="6143" width="2.5703125" customWidth="1"/>
    <col min="6144" max="6144" width="24.42578125" customWidth="1"/>
    <col min="6145" max="6145" width="32.140625" customWidth="1"/>
    <col min="6146" max="6148" width="16.5703125" customWidth="1"/>
    <col min="6149" max="6149" width="83.85546875" customWidth="1"/>
    <col min="6399" max="6399" width="2.5703125" customWidth="1"/>
    <col min="6400" max="6400" width="24.42578125" customWidth="1"/>
    <col min="6401" max="6401" width="32.140625" customWidth="1"/>
    <col min="6402" max="6404" width="16.5703125" customWidth="1"/>
    <col min="6405" max="6405" width="83.85546875" customWidth="1"/>
    <col min="6655" max="6655" width="2.5703125" customWidth="1"/>
    <col min="6656" max="6656" width="24.42578125" customWidth="1"/>
    <col min="6657" max="6657" width="32.140625" customWidth="1"/>
    <col min="6658" max="6660" width="16.5703125" customWidth="1"/>
    <col min="6661" max="6661" width="83.85546875" customWidth="1"/>
    <col min="6911" max="6911" width="2.5703125" customWidth="1"/>
    <col min="6912" max="6912" width="24.42578125" customWidth="1"/>
    <col min="6913" max="6913" width="32.140625" customWidth="1"/>
    <col min="6914" max="6916" width="16.5703125" customWidth="1"/>
    <col min="6917" max="6917" width="83.85546875" customWidth="1"/>
    <col min="7167" max="7167" width="2.5703125" customWidth="1"/>
    <col min="7168" max="7168" width="24.42578125" customWidth="1"/>
    <col min="7169" max="7169" width="32.140625" customWidth="1"/>
    <col min="7170" max="7172" width="16.5703125" customWidth="1"/>
    <col min="7173" max="7173" width="83.85546875" customWidth="1"/>
    <col min="7423" max="7423" width="2.5703125" customWidth="1"/>
    <col min="7424" max="7424" width="24.42578125" customWidth="1"/>
    <col min="7425" max="7425" width="32.140625" customWidth="1"/>
    <col min="7426" max="7428" width="16.5703125" customWidth="1"/>
    <col min="7429" max="7429" width="83.85546875" customWidth="1"/>
    <col min="7679" max="7679" width="2.5703125" customWidth="1"/>
    <col min="7680" max="7680" width="24.42578125" customWidth="1"/>
    <col min="7681" max="7681" width="32.140625" customWidth="1"/>
    <col min="7682" max="7684" width="16.5703125" customWidth="1"/>
    <col min="7685" max="7685" width="83.85546875" customWidth="1"/>
    <col min="7935" max="7935" width="2.5703125" customWidth="1"/>
    <col min="7936" max="7936" width="24.42578125" customWidth="1"/>
    <col min="7937" max="7937" width="32.140625" customWidth="1"/>
    <col min="7938" max="7940" width="16.5703125" customWidth="1"/>
    <col min="7941" max="7941" width="83.85546875" customWidth="1"/>
    <col min="8191" max="8191" width="2.5703125" customWidth="1"/>
    <col min="8192" max="8192" width="24.42578125" customWidth="1"/>
    <col min="8193" max="8193" width="32.140625" customWidth="1"/>
    <col min="8194" max="8196" width="16.5703125" customWidth="1"/>
    <col min="8197" max="8197" width="83.85546875" customWidth="1"/>
    <col min="8447" max="8447" width="2.5703125" customWidth="1"/>
    <col min="8448" max="8448" width="24.42578125" customWidth="1"/>
    <col min="8449" max="8449" width="32.140625" customWidth="1"/>
    <col min="8450" max="8452" width="16.5703125" customWidth="1"/>
    <col min="8453" max="8453" width="83.85546875" customWidth="1"/>
    <col min="8703" max="8703" width="2.5703125" customWidth="1"/>
    <col min="8704" max="8704" width="24.42578125" customWidth="1"/>
    <col min="8705" max="8705" width="32.140625" customWidth="1"/>
    <col min="8706" max="8708" width="16.5703125" customWidth="1"/>
    <col min="8709" max="8709" width="83.85546875" customWidth="1"/>
    <col min="8959" max="8959" width="2.5703125" customWidth="1"/>
    <col min="8960" max="8960" width="24.42578125" customWidth="1"/>
    <col min="8961" max="8961" width="32.140625" customWidth="1"/>
    <col min="8962" max="8964" width="16.5703125" customWidth="1"/>
    <col min="8965" max="8965" width="83.85546875" customWidth="1"/>
    <col min="9215" max="9215" width="2.5703125" customWidth="1"/>
    <col min="9216" max="9216" width="24.42578125" customWidth="1"/>
    <col min="9217" max="9217" width="32.140625" customWidth="1"/>
    <col min="9218" max="9220" width="16.5703125" customWidth="1"/>
    <col min="9221" max="9221" width="83.85546875" customWidth="1"/>
    <col min="9471" max="9471" width="2.5703125" customWidth="1"/>
    <col min="9472" max="9472" width="24.42578125" customWidth="1"/>
    <col min="9473" max="9473" width="32.140625" customWidth="1"/>
    <col min="9474" max="9476" width="16.5703125" customWidth="1"/>
    <col min="9477" max="9477" width="83.85546875" customWidth="1"/>
    <col min="9727" max="9727" width="2.5703125" customWidth="1"/>
    <col min="9728" max="9728" width="24.42578125" customWidth="1"/>
    <col min="9729" max="9729" width="32.140625" customWidth="1"/>
    <col min="9730" max="9732" width="16.5703125" customWidth="1"/>
    <col min="9733" max="9733" width="83.85546875" customWidth="1"/>
    <col min="9983" max="9983" width="2.5703125" customWidth="1"/>
    <col min="9984" max="9984" width="24.42578125" customWidth="1"/>
    <col min="9985" max="9985" width="32.140625" customWidth="1"/>
    <col min="9986" max="9988" width="16.5703125" customWidth="1"/>
    <col min="9989" max="9989" width="83.85546875" customWidth="1"/>
    <col min="10239" max="10239" width="2.5703125" customWidth="1"/>
    <col min="10240" max="10240" width="24.42578125" customWidth="1"/>
    <col min="10241" max="10241" width="32.140625" customWidth="1"/>
    <col min="10242" max="10244" width="16.5703125" customWidth="1"/>
    <col min="10245" max="10245" width="83.85546875" customWidth="1"/>
    <col min="10495" max="10495" width="2.5703125" customWidth="1"/>
    <col min="10496" max="10496" width="24.42578125" customWidth="1"/>
    <col min="10497" max="10497" width="32.140625" customWidth="1"/>
    <col min="10498" max="10500" width="16.5703125" customWidth="1"/>
    <col min="10501" max="10501" width="83.85546875" customWidth="1"/>
    <col min="10751" max="10751" width="2.5703125" customWidth="1"/>
    <col min="10752" max="10752" width="24.42578125" customWidth="1"/>
    <col min="10753" max="10753" width="32.140625" customWidth="1"/>
    <col min="10754" max="10756" width="16.5703125" customWidth="1"/>
    <col min="10757" max="10757" width="83.85546875" customWidth="1"/>
    <col min="11007" max="11007" width="2.5703125" customWidth="1"/>
    <col min="11008" max="11008" width="24.42578125" customWidth="1"/>
    <col min="11009" max="11009" width="32.140625" customWidth="1"/>
    <col min="11010" max="11012" width="16.5703125" customWidth="1"/>
    <col min="11013" max="11013" width="83.85546875" customWidth="1"/>
    <col min="11263" max="11263" width="2.5703125" customWidth="1"/>
    <col min="11264" max="11264" width="24.42578125" customWidth="1"/>
    <col min="11265" max="11265" width="32.140625" customWidth="1"/>
    <col min="11266" max="11268" width="16.5703125" customWidth="1"/>
    <col min="11269" max="11269" width="83.85546875" customWidth="1"/>
    <col min="11519" max="11519" width="2.5703125" customWidth="1"/>
    <col min="11520" max="11520" width="24.42578125" customWidth="1"/>
    <col min="11521" max="11521" width="32.140625" customWidth="1"/>
    <col min="11522" max="11524" width="16.5703125" customWidth="1"/>
    <col min="11525" max="11525" width="83.85546875" customWidth="1"/>
    <col min="11775" max="11775" width="2.5703125" customWidth="1"/>
    <col min="11776" max="11776" width="24.42578125" customWidth="1"/>
    <col min="11777" max="11777" width="32.140625" customWidth="1"/>
    <col min="11778" max="11780" width="16.5703125" customWidth="1"/>
    <col min="11781" max="11781" width="83.85546875" customWidth="1"/>
    <col min="12031" max="12031" width="2.5703125" customWidth="1"/>
    <col min="12032" max="12032" width="24.42578125" customWidth="1"/>
    <col min="12033" max="12033" width="32.140625" customWidth="1"/>
    <col min="12034" max="12036" width="16.5703125" customWidth="1"/>
    <col min="12037" max="12037" width="83.85546875" customWidth="1"/>
    <col min="12287" max="12287" width="2.5703125" customWidth="1"/>
    <col min="12288" max="12288" width="24.42578125" customWidth="1"/>
    <col min="12289" max="12289" width="32.140625" customWidth="1"/>
    <col min="12290" max="12292" width="16.5703125" customWidth="1"/>
    <col min="12293" max="12293" width="83.85546875" customWidth="1"/>
    <col min="12543" max="12543" width="2.5703125" customWidth="1"/>
    <col min="12544" max="12544" width="24.42578125" customWidth="1"/>
    <col min="12545" max="12545" width="32.140625" customWidth="1"/>
    <col min="12546" max="12548" width="16.5703125" customWidth="1"/>
    <col min="12549" max="12549" width="83.85546875" customWidth="1"/>
    <col min="12799" max="12799" width="2.5703125" customWidth="1"/>
    <col min="12800" max="12800" width="24.42578125" customWidth="1"/>
    <col min="12801" max="12801" width="32.140625" customWidth="1"/>
    <col min="12802" max="12804" width="16.5703125" customWidth="1"/>
    <col min="12805" max="12805" width="83.85546875" customWidth="1"/>
    <col min="13055" max="13055" width="2.5703125" customWidth="1"/>
    <col min="13056" max="13056" width="24.42578125" customWidth="1"/>
    <col min="13057" max="13057" width="32.140625" customWidth="1"/>
    <col min="13058" max="13060" width="16.5703125" customWidth="1"/>
    <col min="13061" max="13061" width="83.85546875" customWidth="1"/>
    <col min="13311" max="13311" width="2.5703125" customWidth="1"/>
    <col min="13312" max="13312" width="24.42578125" customWidth="1"/>
    <col min="13313" max="13313" width="32.140625" customWidth="1"/>
    <col min="13314" max="13316" width="16.5703125" customWidth="1"/>
    <col min="13317" max="13317" width="83.85546875" customWidth="1"/>
    <col min="13567" max="13567" width="2.5703125" customWidth="1"/>
    <col min="13568" max="13568" width="24.42578125" customWidth="1"/>
    <col min="13569" max="13569" width="32.140625" customWidth="1"/>
    <col min="13570" max="13572" width="16.5703125" customWidth="1"/>
    <col min="13573" max="13573" width="83.85546875" customWidth="1"/>
    <col min="13823" max="13823" width="2.5703125" customWidth="1"/>
    <col min="13824" max="13824" width="24.42578125" customWidth="1"/>
    <col min="13825" max="13825" width="32.140625" customWidth="1"/>
    <col min="13826" max="13828" width="16.5703125" customWidth="1"/>
    <col min="13829" max="13829" width="83.85546875" customWidth="1"/>
    <col min="14079" max="14079" width="2.5703125" customWidth="1"/>
    <col min="14080" max="14080" width="24.42578125" customWidth="1"/>
    <col min="14081" max="14081" width="32.140625" customWidth="1"/>
    <col min="14082" max="14084" width="16.5703125" customWidth="1"/>
    <col min="14085" max="14085" width="83.85546875" customWidth="1"/>
    <col min="14335" max="14335" width="2.5703125" customWidth="1"/>
    <col min="14336" max="14336" width="24.42578125" customWidth="1"/>
    <col min="14337" max="14337" width="32.140625" customWidth="1"/>
    <col min="14338" max="14340" width="16.5703125" customWidth="1"/>
    <col min="14341" max="14341" width="83.85546875" customWidth="1"/>
    <col min="14591" max="14591" width="2.5703125" customWidth="1"/>
    <col min="14592" max="14592" width="24.42578125" customWidth="1"/>
    <col min="14593" max="14593" width="32.140625" customWidth="1"/>
    <col min="14594" max="14596" width="16.5703125" customWidth="1"/>
    <col min="14597" max="14597" width="83.85546875" customWidth="1"/>
    <col min="14847" max="14847" width="2.5703125" customWidth="1"/>
    <col min="14848" max="14848" width="24.42578125" customWidth="1"/>
    <col min="14849" max="14849" width="32.140625" customWidth="1"/>
    <col min="14850" max="14852" width="16.5703125" customWidth="1"/>
    <col min="14853" max="14853" width="83.85546875" customWidth="1"/>
    <col min="15103" max="15103" width="2.5703125" customWidth="1"/>
    <col min="15104" max="15104" width="24.42578125" customWidth="1"/>
    <col min="15105" max="15105" width="32.140625" customWidth="1"/>
    <col min="15106" max="15108" width="16.5703125" customWidth="1"/>
    <col min="15109" max="15109" width="83.85546875" customWidth="1"/>
    <col min="15359" max="15359" width="2.5703125" customWidth="1"/>
    <col min="15360" max="15360" width="24.42578125" customWidth="1"/>
    <col min="15361" max="15361" width="32.140625" customWidth="1"/>
    <col min="15362" max="15364" width="16.5703125" customWidth="1"/>
    <col min="15365" max="15365" width="83.85546875" customWidth="1"/>
    <col min="15615" max="15615" width="2.5703125" customWidth="1"/>
    <col min="15616" max="15616" width="24.42578125" customWidth="1"/>
    <col min="15617" max="15617" width="32.140625" customWidth="1"/>
    <col min="15618" max="15620" width="16.5703125" customWidth="1"/>
    <col min="15621" max="15621" width="83.85546875" customWidth="1"/>
    <col min="15871" max="15871" width="2.5703125" customWidth="1"/>
    <col min="15872" max="15872" width="24.42578125" customWidth="1"/>
    <col min="15873" max="15873" width="32.140625" customWidth="1"/>
    <col min="15874" max="15876" width="16.5703125" customWidth="1"/>
    <col min="15877" max="15877" width="83.85546875" customWidth="1"/>
    <col min="16127" max="16127" width="2.5703125" customWidth="1"/>
    <col min="16128" max="16128" width="24.42578125" customWidth="1"/>
    <col min="16129" max="16129" width="32.140625" customWidth="1"/>
    <col min="16130" max="16132" width="16.5703125" customWidth="1"/>
    <col min="16133" max="16133" width="83.85546875" customWidth="1"/>
  </cols>
  <sheetData>
    <row r="1" spans="1:36" s="3" customFormat="1" ht="20.25" x14ac:dyDescent="0.3">
      <c r="A1" s="374" t="s">
        <v>13</v>
      </c>
      <c r="B1" s="374"/>
      <c r="C1" s="374"/>
      <c r="D1" s="374"/>
      <c r="E1" s="374"/>
      <c r="F1" s="374"/>
      <c r="G1" s="374"/>
      <c r="H1" s="374"/>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s="3" customFormat="1" ht="21" thickBot="1" x14ac:dyDescent="0.35">
      <c r="A2" s="271"/>
      <c r="B2" s="271"/>
      <c r="C2" s="271"/>
      <c r="D2" s="271"/>
      <c r="E2" s="271"/>
      <c r="F2" s="271"/>
      <c r="G2" s="271"/>
      <c r="H2" s="27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s="3" customFormat="1" ht="15" customHeight="1" x14ac:dyDescent="0.3">
      <c r="A3" s="271"/>
      <c r="B3" s="372" t="s">
        <v>58</v>
      </c>
      <c r="C3" s="81" t="s">
        <v>112</v>
      </c>
      <c r="D3" s="272" t="s">
        <v>113</v>
      </c>
      <c r="E3" s="375" t="s">
        <v>114</v>
      </c>
      <c r="F3" s="271"/>
      <c r="G3" s="271"/>
      <c r="H3" s="27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15" customHeight="1" x14ac:dyDescent="0.25">
      <c r="B4" s="373"/>
      <c r="C4" s="82">
        <v>1</v>
      </c>
      <c r="D4" s="83">
        <v>1</v>
      </c>
      <c r="E4" s="376"/>
    </row>
    <row r="5" spans="1:36" ht="15" customHeight="1" x14ac:dyDescent="0.25">
      <c r="B5" s="373"/>
      <c r="C5" s="275" t="str">
        <f>D5</f>
        <v>Fugitive Losses</v>
      </c>
      <c r="D5" s="273" t="s">
        <v>634</v>
      </c>
      <c r="E5" s="376"/>
      <c r="F5" s="276"/>
      <c r="G5" s="276"/>
      <c r="H5" s="276"/>
      <c r="I5" s="276"/>
      <c r="J5" s="276"/>
      <c r="K5" s="276"/>
      <c r="L5" s="276"/>
    </row>
    <row r="6" spans="1:36" x14ac:dyDescent="0.25">
      <c r="B6" s="373"/>
      <c r="C6" s="277" t="s">
        <v>633</v>
      </c>
      <c r="D6" s="84" t="s">
        <v>633</v>
      </c>
      <c r="E6" s="376"/>
      <c r="F6" s="276"/>
      <c r="G6" s="276"/>
      <c r="H6" s="276"/>
      <c r="I6" s="276"/>
      <c r="J6" s="276"/>
      <c r="K6" s="276"/>
      <c r="L6" s="276"/>
    </row>
    <row r="7" spans="1:36" ht="15" customHeight="1" x14ac:dyDescent="0.25">
      <c r="B7" s="278"/>
      <c r="C7" s="85"/>
      <c r="D7" s="86"/>
      <c r="E7" s="279"/>
      <c r="F7" s="280"/>
      <c r="G7" s="280"/>
      <c r="H7" s="280"/>
      <c r="I7" s="280"/>
      <c r="J7" s="280"/>
      <c r="K7" s="280"/>
      <c r="L7" s="276"/>
    </row>
    <row r="8" spans="1:36" ht="15" customHeight="1" x14ac:dyDescent="0.25">
      <c r="A8">
        <v>1</v>
      </c>
      <c r="B8" s="278"/>
      <c r="C8" s="85"/>
      <c r="D8" s="86"/>
      <c r="E8" s="279"/>
      <c r="F8" s="280"/>
      <c r="G8" s="280"/>
      <c r="H8" s="280"/>
      <c r="I8" s="280"/>
      <c r="J8" s="280"/>
      <c r="K8" s="280"/>
      <c r="L8" s="276"/>
    </row>
    <row r="9" spans="1:36" ht="15" customHeight="1" x14ac:dyDescent="0.25">
      <c r="A9">
        <f>A8+1</f>
        <v>2</v>
      </c>
      <c r="B9" s="278"/>
      <c r="C9" s="85"/>
      <c r="D9" s="86"/>
      <c r="E9" s="279"/>
      <c r="F9" s="280"/>
      <c r="G9" s="280"/>
      <c r="H9" s="280"/>
      <c r="I9" s="280"/>
      <c r="J9" s="280"/>
      <c r="K9" s="280"/>
      <c r="L9" s="276"/>
    </row>
    <row r="10" spans="1:36" ht="15" customHeight="1" x14ac:dyDescent="0.25">
      <c r="A10">
        <f t="shared" ref="A10:A55" si="0">A9+1</f>
        <v>3</v>
      </c>
      <c r="B10" s="278"/>
      <c r="C10" s="85"/>
      <c r="D10" s="86"/>
      <c r="E10" s="279"/>
      <c r="F10" s="280"/>
      <c r="G10" s="280"/>
      <c r="H10" s="280"/>
      <c r="I10" s="280"/>
      <c r="J10" s="280"/>
      <c r="K10" s="280"/>
      <c r="L10" s="276"/>
    </row>
    <row r="11" spans="1:36" ht="15" customHeight="1" x14ac:dyDescent="0.25">
      <c r="A11">
        <f t="shared" si="0"/>
        <v>4</v>
      </c>
      <c r="B11" s="278"/>
      <c r="C11" s="85"/>
      <c r="D11" s="86"/>
      <c r="E11" s="279"/>
      <c r="F11" s="280"/>
      <c r="G11" s="280"/>
      <c r="H11" s="280"/>
      <c r="I11" s="280"/>
      <c r="J11" s="280"/>
      <c r="K11" s="280"/>
      <c r="L11" s="276"/>
    </row>
    <row r="12" spans="1:36" ht="15" customHeight="1" x14ac:dyDescent="0.25">
      <c r="A12">
        <f t="shared" si="0"/>
        <v>5</v>
      </c>
      <c r="B12" s="278"/>
      <c r="C12" s="85"/>
      <c r="D12" s="86"/>
      <c r="E12" s="88"/>
      <c r="F12" s="276"/>
      <c r="G12" s="276"/>
      <c r="H12" s="276"/>
      <c r="I12" s="276"/>
      <c r="J12" s="276"/>
      <c r="K12" s="276"/>
      <c r="L12" s="276"/>
    </row>
    <row r="13" spans="1:36" ht="15" customHeight="1" x14ac:dyDescent="0.25">
      <c r="A13">
        <f t="shared" si="0"/>
        <v>6</v>
      </c>
      <c r="B13" s="278"/>
      <c r="C13" s="85"/>
      <c r="D13" s="86"/>
      <c r="E13" s="88"/>
      <c r="F13" s="276"/>
      <c r="G13" s="276"/>
      <c r="H13" s="276"/>
      <c r="I13" s="276"/>
      <c r="J13" s="276"/>
      <c r="K13" s="276"/>
      <c r="L13" s="276"/>
    </row>
    <row r="14" spans="1:36" ht="15" customHeight="1" x14ac:dyDescent="0.25">
      <c r="A14">
        <f t="shared" si="0"/>
        <v>7</v>
      </c>
      <c r="B14" s="278"/>
      <c r="C14" s="85"/>
      <c r="D14" s="86"/>
      <c r="E14" s="279"/>
      <c r="F14" s="280"/>
      <c r="G14" s="280"/>
      <c r="H14" s="280"/>
      <c r="I14" s="280"/>
      <c r="J14" s="280"/>
      <c r="K14" s="280"/>
      <c r="L14" s="276"/>
    </row>
    <row r="15" spans="1:36" ht="15" customHeight="1" x14ac:dyDescent="0.25">
      <c r="A15">
        <f t="shared" si="0"/>
        <v>8</v>
      </c>
      <c r="B15" s="278"/>
      <c r="C15" s="85"/>
      <c r="D15" s="86"/>
      <c r="E15" s="88"/>
      <c r="F15" s="276"/>
      <c r="G15" s="276"/>
      <c r="H15" s="276"/>
      <c r="I15" s="276"/>
      <c r="J15" s="276"/>
      <c r="K15" s="276"/>
      <c r="L15" s="276"/>
    </row>
    <row r="16" spans="1:36" ht="15" customHeight="1" x14ac:dyDescent="0.25">
      <c r="A16">
        <f t="shared" si="0"/>
        <v>9</v>
      </c>
      <c r="B16" s="278"/>
      <c r="C16" s="85"/>
      <c r="D16" s="86"/>
      <c r="E16" s="88"/>
    </row>
    <row r="17" spans="1:5" ht="15" customHeight="1" x14ac:dyDescent="0.25">
      <c r="A17">
        <f t="shared" si="0"/>
        <v>10</v>
      </c>
      <c r="B17" s="278"/>
      <c r="C17" s="85"/>
      <c r="D17" s="86"/>
      <c r="E17" s="88"/>
    </row>
    <row r="18" spans="1:5" ht="15" customHeight="1" x14ac:dyDescent="0.25">
      <c r="A18">
        <f t="shared" si="0"/>
        <v>11</v>
      </c>
      <c r="B18" s="278"/>
      <c r="C18" s="85"/>
      <c r="D18" s="86"/>
      <c r="E18" s="88"/>
    </row>
    <row r="19" spans="1:5" x14ac:dyDescent="0.25">
      <c r="A19">
        <f t="shared" si="0"/>
        <v>12</v>
      </c>
      <c r="B19" s="278"/>
      <c r="C19" s="85"/>
      <c r="D19" s="86"/>
      <c r="E19" s="88"/>
    </row>
    <row r="20" spans="1:5" x14ac:dyDescent="0.25">
      <c r="A20">
        <f t="shared" si="0"/>
        <v>13</v>
      </c>
      <c r="B20" s="278"/>
      <c r="C20" s="85"/>
      <c r="D20" s="86"/>
      <c r="E20" s="88"/>
    </row>
    <row r="21" spans="1:5" ht="30" customHeight="1" x14ac:dyDescent="0.25">
      <c r="A21">
        <f t="shared" si="0"/>
        <v>14</v>
      </c>
      <c r="B21" s="278"/>
      <c r="C21" s="85"/>
      <c r="D21" s="86"/>
      <c r="E21" s="88"/>
    </row>
    <row r="22" spans="1:5" ht="30" customHeight="1" x14ac:dyDescent="0.25">
      <c r="A22">
        <f t="shared" si="0"/>
        <v>15</v>
      </c>
      <c r="B22" s="278"/>
      <c r="C22" s="85"/>
      <c r="D22" s="86"/>
      <c r="E22" s="88"/>
    </row>
    <row r="23" spans="1:5" ht="30" customHeight="1" x14ac:dyDescent="0.25">
      <c r="A23">
        <f t="shared" si="0"/>
        <v>16</v>
      </c>
      <c r="B23" s="278"/>
      <c r="C23" s="85"/>
      <c r="D23" s="86"/>
      <c r="E23" s="88"/>
    </row>
    <row r="24" spans="1:5" x14ac:dyDescent="0.25">
      <c r="A24">
        <f t="shared" si="0"/>
        <v>17</v>
      </c>
      <c r="B24" s="278"/>
      <c r="C24" s="85"/>
      <c r="D24" s="86"/>
      <c r="E24" s="88"/>
    </row>
    <row r="25" spans="1:5" x14ac:dyDescent="0.25">
      <c r="A25">
        <f t="shared" si="0"/>
        <v>18</v>
      </c>
      <c r="B25" s="278"/>
      <c r="C25" s="85"/>
      <c r="D25" s="86"/>
      <c r="E25" s="88"/>
    </row>
    <row r="26" spans="1:5" x14ac:dyDescent="0.25">
      <c r="A26">
        <f t="shared" si="0"/>
        <v>19</v>
      </c>
      <c r="B26" s="278"/>
      <c r="C26" s="85"/>
      <c r="D26" s="86"/>
      <c r="E26" s="88"/>
    </row>
    <row r="27" spans="1:5" x14ac:dyDescent="0.25">
      <c r="A27">
        <f t="shared" si="0"/>
        <v>20</v>
      </c>
      <c r="B27" s="278"/>
      <c r="C27" s="85"/>
      <c r="D27" s="86"/>
      <c r="E27" s="88"/>
    </row>
    <row r="28" spans="1:5" x14ac:dyDescent="0.25">
      <c r="A28">
        <f t="shared" si="0"/>
        <v>21</v>
      </c>
      <c r="B28" s="278"/>
      <c r="C28" s="85"/>
      <c r="D28" s="86"/>
      <c r="E28" s="88"/>
    </row>
    <row r="29" spans="1:5" x14ac:dyDescent="0.25">
      <c r="A29">
        <f t="shared" si="0"/>
        <v>22</v>
      </c>
      <c r="B29" s="278"/>
      <c r="C29" s="85"/>
      <c r="D29" s="86"/>
      <c r="E29" s="88"/>
    </row>
    <row r="30" spans="1:5" x14ac:dyDescent="0.25">
      <c r="A30">
        <f t="shared" si="0"/>
        <v>23</v>
      </c>
      <c r="B30" s="278"/>
      <c r="C30" s="85"/>
      <c r="D30" s="86"/>
      <c r="E30" s="88"/>
    </row>
    <row r="31" spans="1:5" x14ac:dyDescent="0.25">
      <c r="A31">
        <f t="shared" si="0"/>
        <v>24</v>
      </c>
      <c r="B31" s="278"/>
      <c r="C31" s="85"/>
      <c r="D31" s="86"/>
      <c r="E31" s="88"/>
    </row>
    <row r="32" spans="1:5" x14ac:dyDescent="0.25">
      <c r="A32">
        <f t="shared" si="0"/>
        <v>25</v>
      </c>
      <c r="B32" s="278"/>
      <c r="C32" s="85"/>
      <c r="D32" s="86"/>
      <c r="E32" s="88"/>
    </row>
    <row r="33" spans="1:5" x14ac:dyDescent="0.25">
      <c r="A33">
        <f t="shared" si="0"/>
        <v>26</v>
      </c>
      <c r="B33" s="278"/>
      <c r="C33" s="85"/>
      <c r="D33" s="86"/>
      <c r="E33" s="88"/>
    </row>
    <row r="34" spans="1:5" x14ac:dyDescent="0.25">
      <c r="A34">
        <f t="shared" si="0"/>
        <v>27</v>
      </c>
      <c r="B34" s="278"/>
      <c r="C34" s="85"/>
      <c r="D34" s="86"/>
      <c r="E34" s="88"/>
    </row>
    <row r="35" spans="1:5" x14ac:dyDescent="0.25">
      <c r="A35">
        <f t="shared" si="0"/>
        <v>28</v>
      </c>
      <c r="B35" s="278"/>
      <c r="C35" s="85"/>
      <c r="D35" s="86"/>
      <c r="E35" s="88"/>
    </row>
    <row r="36" spans="1:5" x14ac:dyDescent="0.25">
      <c r="A36">
        <f t="shared" si="0"/>
        <v>29</v>
      </c>
      <c r="B36" s="278"/>
      <c r="C36" s="85"/>
      <c r="D36" s="86"/>
      <c r="E36" s="88"/>
    </row>
    <row r="37" spans="1:5" x14ac:dyDescent="0.25">
      <c r="A37">
        <f t="shared" si="0"/>
        <v>30</v>
      </c>
      <c r="B37" s="278"/>
      <c r="C37" s="85"/>
      <c r="D37" s="86"/>
      <c r="E37" s="88"/>
    </row>
    <row r="38" spans="1:5" x14ac:dyDescent="0.25">
      <c r="A38">
        <f t="shared" si="0"/>
        <v>31</v>
      </c>
      <c r="B38" s="278"/>
      <c r="C38" s="85"/>
      <c r="D38" s="86"/>
      <c r="E38" s="88"/>
    </row>
    <row r="39" spans="1:5" x14ac:dyDescent="0.25">
      <c r="A39">
        <f t="shared" si="0"/>
        <v>32</v>
      </c>
      <c r="B39" s="278"/>
      <c r="C39" s="85"/>
      <c r="D39" s="86"/>
      <c r="E39" s="88"/>
    </row>
    <row r="40" spans="1:5" x14ac:dyDescent="0.25">
      <c r="A40">
        <f t="shared" si="0"/>
        <v>33</v>
      </c>
      <c r="B40" s="278"/>
      <c r="C40" s="85"/>
      <c r="D40" s="86"/>
      <c r="E40" s="88"/>
    </row>
    <row r="41" spans="1:5" x14ac:dyDescent="0.25">
      <c r="A41">
        <f t="shared" si="0"/>
        <v>34</v>
      </c>
      <c r="B41" s="278"/>
      <c r="C41" s="85"/>
      <c r="D41" s="86"/>
      <c r="E41" s="88"/>
    </row>
    <row r="42" spans="1:5" x14ac:dyDescent="0.25">
      <c r="A42">
        <f t="shared" si="0"/>
        <v>35</v>
      </c>
      <c r="B42" s="278"/>
      <c r="C42" s="85"/>
      <c r="D42" s="86"/>
      <c r="E42" s="88"/>
    </row>
    <row r="43" spans="1:5" x14ac:dyDescent="0.25">
      <c r="A43">
        <f t="shared" si="0"/>
        <v>36</v>
      </c>
      <c r="B43" s="278"/>
      <c r="C43" s="85"/>
      <c r="D43" s="86"/>
      <c r="E43" s="88"/>
    </row>
    <row r="44" spans="1:5" x14ac:dyDescent="0.25">
      <c r="A44">
        <f t="shared" si="0"/>
        <v>37</v>
      </c>
      <c r="B44" s="278"/>
      <c r="C44" s="85"/>
      <c r="D44" s="86"/>
      <c r="E44" s="88"/>
    </row>
    <row r="45" spans="1:5" x14ac:dyDescent="0.25">
      <c r="A45">
        <f t="shared" si="0"/>
        <v>38</v>
      </c>
      <c r="B45" s="278"/>
      <c r="C45" s="85"/>
      <c r="D45" s="86"/>
      <c r="E45" s="88"/>
    </row>
    <row r="46" spans="1:5" x14ac:dyDescent="0.25">
      <c r="A46">
        <f t="shared" si="0"/>
        <v>39</v>
      </c>
      <c r="B46" s="278"/>
      <c r="C46" s="85"/>
      <c r="D46" s="86"/>
      <c r="E46" s="88"/>
    </row>
    <row r="47" spans="1:5" x14ac:dyDescent="0.25">
      <c r="A47">
        <f t="shared" si="0"/>
        <v>40</v>
      </c>
      <c r="B47" s="278"/>
      <c r="C47" s="85"/>
      <c r="D47" s="86"/>
      <c r="E47" s="88"/>
    </row>
    <row r="48" spans="1:5" x14ac:dyDescent="0.25">
      <c r="A48">
        <f t="shared" si="0"/>
        <v>41</v>
      </c>
      <c r="B48" s="278"/>
      <c r="C48" s="85"/>
      <c r="D48" s="86"/>
      <c r="E48" s="88"/>
    </row>
    <row r="49" spans="1:5" x14ac:dyDescent="0.25">
      <c r="A49">
        <f t="shared" si="0"/>
        <v>42</v>
      </c>
      <c r="B49" s="278"/>
      <c r="C49" s="85"/>
      <c r="D49" s="86"/>
      <c r="E49" s="88"/>
    </row>
    <row r="50" spans="1:5" x14ac:dyDescent="0.25">
      <c r="A50">
        <f t="shared" si="0"/>
        <v>43</v>
      </c>
      <c r="B50" s="278"/>
      <c r="C50" s="85"/>
      <c r="D50" s="86"/>
      <c r="E50" s="88"/>
    </row>
    <row r="51" spans="1:5" x14ac:dyDescent="0.25">
      <c r="A51">
        <f t="shared" si="0"/>
        <v>44</v>
      </c>
      <c r="B51" s="278"/>
      <c r="C51" s="85"/>
      <c r="D51" s="86"/>
      <c r="E51" s="88"/>
    </row>
    <row r="52" spans="1:5" x14ac:dyDescent="0.25">
      <c r="A52">
        <f t="shared" si="0"/>
        <v>45</v>
      </c>
      <c r="B52" s="278"/>
      <c r="C52" s="85"/>
      <c r="D52" s="86"/>
      <c r="E52" s="88"/>
    </row>
    <row r="53" spans="1:5" x14ac:dyDescent="0.25">
      <c r="A53">
        <f t="shared" si="0"/>
        <v>46</v>
      </c>
      <c r="B53" s="278"/>
      <c r="C53" s="85"/>
      <c r="D53" s="86"/>
      <c r="E53" s="88"/>
    </row>
    <row r="54" spans="1:5" x14ac:dyDescent="0.25">
      <c r="A54">
        <f t="shared" si="0"/>
        <v>47</v>
      </c>
      <c r="B54" s="278"/>
      <c r="C54" s="85"/>
      <c r="D54" s="86"/>
      <c r="E54" s="88"/>
    </row>
    <row r="55" spans="1:5" x14ac:dyDescent="0.25">
      <c r="A55">
        <f t="shared" si="0"/>
        <v>48</v>
      </c>
      <c r="B55" s="278"/>
      <c r="C55" s="85"/>
      <c r="D55" s="86"/>
      <c r="E55" s="88"/>
    </row>
    <row r="61" spans="1:5" ht="18.75" x14ac:dyDescent="0.3">
      <c r="B61" s="90" t="s">
        <v>115</v>
      </c>
    </row>
    <row r="62" spans="1:5" x14ac:dyDescent="0.25">
      <c r="B62" s="274" t="s">
        <v>113</v>
      </c>
      <c r="C62" s="371" t="s">
        <v>9</v>
      </c>
      <c r="D62" s="371"/>
      <c r="E62" s="371"/>
    </row>
    <row r="63" spans="1:5" x14ac:dyDescent="0.25">
      <c r="B63" s="91">
        <v>1</v>
      </c>
      <c r="C63" s="368" t="s">
        <v>633</v>
      </c>
      <c r="D63" s="369"/>
      <c r="E63" s="369"/>
    </row>
    <row r="64" spans="1:5" x14ac:dyDescent="0.25">
      <c r="B64" s="91"/>
      <c r="C64" s="370"/>
      <c r="D64" s="370"/>
      <c r="E64" s="370"/>
    </row>
    <row r="65" spans="2:5" x14ac:dyDescent="0.25">
      <c r="B65" s="91"/>
      <c r="C65" s="368"/>
      <c r="D65" s="369"/>
      <c r="E65" s="369"/>
    </row>
    <row r="66" spans="2:5" x14ac:dyDescent="0.25">
      <c r="B66" s="91"/>
      <c r="C66" s="370"/>
      <c r="D66" s="370"/>
      <c r="E66" s="370"/>
    </row>
    <row r="67" spans="2:5" x14ac:dyDescent="0.25">
      <c r="B67" s="91"/>
      <c r="C67" s="368"/>
      <c r="D67" s="369"/>
      <c r="E67" s="369"/>
    </row>
    <row r="68" spans="2:5" x14ac:dyDescent="0.25">
      <c r="B68" s="91"/>
      <c r="C68" s="370"/>
      <c r="D68" s="370"/>
      <c r="E68" s="370"/>
    </row>
    <row r="69" spans="2:5" x14ac:dyDescent="0.25">
      <c r="B69" s="91"/>
      <c r="C69" s="368"/>
      <c r="D69" s="369"/>
      <c r="E69" s="369"/>
    </row>
    <row r="70" spans="2:5" x14ac:dyDescent="0.25">
      <c r="B70" s="91"/>
      <c r="C70" s="370"/>
      <c r="D70" s="370"/>
      <c r="E70" s="370"/>
    </row>
    <row r="88" spans="2:2" x14ac:dyDescent="0.25">
      <c r="B88" s="281"/>
    </row>
    <row r="89" spans="2:2" x14ac:dyDescent="0.25">
      <c r="B89" s="281"/>
    </row>
    <row r="90" spans="2:2" x14ac:dyDescent="0.25">
      <c r="B90" s="281"/>
    </row>
    <row r="91" spans="2:2" x14ac:dyDescent="0.25">
      <c r="B91" s="281"/>
    </row>
    <row r="92" spans="2:2" x14ac:dyDescent="0.25">
      <c r="B92" s="281"/>
    </row>
    <row r="93" spans="2:2" x14ac:dyDescent="0.25">
      <c r="B93" s="281"/>
    </row>
    <row r="94" spans="2:2" x14ac:dyDescent="0.25">
      <c r="B94" s="281"/>
    </row>
    <row r="95" spans="2:2" x14ac:dyDescent="0.25">
      <c r="B95" s="281"/>
    </row>
    <row r="96" spans="2:2" x14ac:dyDescent="0.25">
      <c r="B96" s="281"/>
    </row>
    <row r="97" spans="2:2" x14ac:dyDescent="0.25">
      <c r="B97" s="281"/>
    </row>
    <row r="98" spans="2:2" x14ac:dyDescent="0.25">
      <c r="B98" s="281"/>
    </row>
    <row r="99" spans="2:2" x14ac:dyDescent="0.25">
      <c r="B99" s="281"/>
    </row>
    <row r="100" spans="2:2" x14ac:dyDescent="0.25">
      <c r="B100" s="281"/>
    </row>
    <row r="101" spans="2:2" x14ac:dyDescent="0.25">
      <c r="B101" s="281"/>
    </row>
    <row r="102" spans="2:2" x14ac:dyDescent="0.25">
      <c r="B102" s="281"/>
    </row>
    <row r="103" spans="2:2" x14ac:dyDescent="0.25">
      <c r="B103" s="281"/>
    </row>
    <row r="104" spans="2:2" x14ac:dyDescent="0.25">
      <c r="B104" s="281"/>
    </row>
    <row r="105" spans="2:2" x14ac:dyDescent="0.25">
      <c r="B105" s="281"/>
    </row>
    <row r="106" spans="2:2" x14ac:dyDescent="0.25">
      <c r="B106" s="281"/>
    </row>
    <row r="107" spans="2:2" x14ac:dyDescent="0.25">
      <c r="B107" s="281"/>
    </row>
    <row r="108" spans="2:2" x14ac:dyDescent="0.25">
      <c r="B108" s="281"/>
    </row>
    <row r="109" spans="2:2" x14ac:dyDescent="0.25">
      <c r="B109" s="281"/>
    </row>
    <row r="110" spans="2:2" x14ac:dyDescent="0.25">
      <c r="B110" s="281"/>
    </row>
    <row r="111" spans="2:2" x14ac:dyDescent="0.25">
      <c r="B111" s="281"/>
    </row>
    <row r="112" spans="2:2" x14ac:dyDescent="0.25">
      <c r="B112" s="281"/>
    </row>
    <row r="113" spans="2:2" x14ac:dyDescent="0.25">
      <c r="B113" s="281"/>
    </row>
    <row r="114" spans="2:2" x14ac:dyDescent="0.25">
      <c r="B114" s="281"/>
    </row>
  </sheetData>
  <mergeCells count="12">
    <mergeCell ref="B3:B6"/>
    <mergeCell ref="A1:H1"/>
    <mergeCell ref="E3:E6"/>
    <mergeCell ref="C67:E67"/>
    <mergeCell ref="C68:E68"/>
    <mergeCell ref="C69:E69"/>
    <mergeCell ref="C70:E70"/>
    <mergeCell ref="C62:E62"/>
    <mergeCell ref="C63:E63"/>
    <mergeCell ref="C64:E64"/>
    <mergeCell ref="C65:E65"/>
    <mergeCell ref="C66:E6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E15" sqref="E15"/>
    </sheetView>
  </sheetViews>
  <sheetFormatPr defaultColWidth="36.85546875" defaultRowHeight="12.75" customHeight="1" x14ac:dyDescent="0.25"/>
  <cols>
    <col min="1" max="1" width="18.5703125" style="151" customWidth="1"/>
    <col min="2" max="10" width="31.42578125" style="150" customWidth="1"/>
    <col min="11" max="27" width="36.85546875" style="150" customWidth="1"/>
    <col min="28" max="28" width="37" style="150" customWidth="1"/>
    <col min="29" max="35" width="36.85546875" style="150" customWidth="1"/>
    <col min="36" max="44" width="36.85546875" style="151" customWidth="1"/>
    <col min="45" max="45" width="37.140625" style="151" customWidth="1"/>
    <col min="46" max="47" width="36.85546875" style="151" customWidth="1"/>
    <col min="48" max="48" width="36.5703125" style="151" customWidth="1"/>
    <col min="49" max="50" width="36.85546875" style="151" customWidth="1"/>
    <col min="51" max="51" width="36.5703125" style="151" customWidth="1"/>
    <col min="52" max="52" width="37" style="151" customWidth="1"/>
    <col min="53" max="71" width="36.85546875" style="151" customWidth="1"/>
    <col min="72" max="72" width="37" style="151" customWidth="1"/>
    <col min="73" max="90" width="36.85546875" style="151" customWidth="1"/>
    <col min="91" max="91" width="36.5703125" style="151" customWidth="1"/>
    <col min="92" max="104" width="36.85546875" style="151" customWidth="1"/>
    <col min="105" max="105" width="36.5703125" style="151" customWidth="1"/>
    <col min="106" max="108" width="36.85546875" style="151" customWidth="1"/>
    <col min="109" max="109" width="36.5703125" style="151" customWidth="1"/>
    <col min="110" max="117" width="36.85546875" style="151" customWidth="1"/>
    <col min="118" max="118" width="36.5703125" style="151" customWidth="1"/>
    <col min="119" max="256" width="36.85546875" style="151"/>
    <col min="257" max="257" width="18.5703125" style="151" customWidth="1"/>
    <col min="258" max="266" width="31.42578125" style="151" customWidth="1"/>
    <col min="267" max="283" width="36.85546875" style="151" customWidth="1"/>
    <col min="284" max="284" width="37" style="151" customWidth="1"/>
    <col min="285" max="300" width="36.85546875" style="151" customWidth="1"/>
    <col min="301" max="301" width="37.140625" style="151" customWidth="1"/>
    <col min="302" max="303" width="36.85546875" style="151" customWidth="1"/>
    <col min="304" max="304" width="36.5703125" style="151" customWidth="1"/>
    <col min="305" max="306" width="36.85546875" style="151" customWidth="1"/>
    <col min="307" max="307" width="36.5703125" style="151" customWidth="1"/>
    <col min="308" max="308" width="37" style="151" customWidth="1"/>
    <col min="309" max="327" width="36.85546875" style="151" customWidth="1"/>
    <col min="328" max="328" width="37" style="151" customWidth="1"/>
    <col min="329" max="346" width="36.85546875" style="151" customWidth="1"/>
    <col min="347" max="347" width="36.5703125" style="151" customWidth="1"/>
    <col min="348" max="360" width="36.85546875" style="151" customWidth="1"/>
    <col min="361" max="361" width="36.5703125" style="151" customWidth="1"/>
    <col min="362" max="364" width="36.85546875" style="151" customWidth="1"/>
    <col min="365" max="365" width="36.5703125" style="151" customWidth="1"/>
    <col min="366" max="373" width="36.85546875" style="151" customWidth="1"/>
    <col min="374" max="374" width="36.5703125" style="151" customWidth="1"/>
    <col min="375" max="512" width="36.85546875" style="151"/>
    <col min="513" max="513" width="18.5703125" style="151" customWidth="1"/>
    <col min="514" max="522" width="31.42578125" style="151" customWidth="1"/>
    <col min="523" max="539" width="36.85546875" style="151" customWidth="1"/>
    <col min="540" max="540" width="37" style="151" customWidth="1"/>
    <col min="541" max="556" width="36.85546875" style="151" customWidth="1"/>
    <col min="557" max="557" width="37.140625" style="151" customWidth="1"/>
    <col min="558" max="559" width="36.85546875" style="151" customWidth="1"/>
    <col min="560" max="560" width="36.5703125" style="151" customWidth="1"/>
    <col min="561" max="562" width="36.85546875" style="151" customWidth="1"/>
    <col min="563" max="563" width="36.5703125" style="151" customWidth="1"/>
    <col min="564" max="564" width="37" style="151" customWidth="1"/>
    <col min="565" max="583" width="36.85546875" style="151" customWidth="1"/>
    <col min="584" max="584" width="37" style="151" customWidth="1"/>
    <col min="585" max="602" width="36.85546875" style="151" customWidth="1"/>
    <col min="603" max="603" width="36.5703125" style="151" customWidth="1"/>
    <col min="604" max="616" width="36.85546875" style="151" customWidth="1"/>
    <col min="617" max="617" width="36.5703125" style="151" customWidth="1"/>
    <col min="618" max="620" width="36.85546875" style="151" customWidth="1"/>
    <col min="621" max="621" width="36.5703125" style="151" customWidth="1"/>
    <col min="622" max="629" width="36.85546875" style="151" customWidth="1"/>
    <col min="630" max="630" width="36.5703125" style="151" customWidth="1"/>
    <col min="631" max="768" width="36.85546875" style="151"/>
    <col min="769" max="769" width="18.5703125" style="151" customWidth="1"/>
    <col min="770" max="778" width="31.42578125" style="151" customWidth="1"/>
    <col min="779" max="795" width="36.85546875" style="151" customWidth="1"/>
    <col min="796" max="796" width="37" style="151" customWidth="1"/>
    <col min="797" max="812" width="36.85546875" style="151" customWidth="1"/>
    <col min="813" max="813" width="37.140625" style="151" customWidth="1"/>
    <col min="814" max="815" width="36.85546875" style="151" customWidth="1"/>
    <col min="816" max="816" width="36.5703125" style="151" customWidth="1"/>
    <col min="817" max="818" width="36.85546875" style="151" customWidth="1"/>
    <col min="819" max="819" width="36.5703125" style="151" customWidth="1"/>
    <col min="820" max="820" width="37" style="151" customWidth="1"/>
    <col min="821" max="839" width="36.85546875" style="151" customWidth="1"/>
    <col min="840" max="840" width="37" style="151" customWidth="1"/>
    <col min="841" max="858" width="36.85546875" style="151" customWidth="1"/>
    <col min="859" max="859" width="36.5703125" style="151" customWidth="1"/>
    <col min="860" max="872" width="36.85546875" style="151" customWidth="1"/>
    <col min="873" max="873" width="36.5703125" style="151" customWidth="1"/>
    <col min="874" max="876" width="36.85546875" style="151" customWidth="1"/>
    <col min="877" max="877" width="36.5703125" style="151" customWidth="1"/>
    <col min="878" max="885" width="36.85546875" style="151" customWidth="1"/>
    <col min="886" max="886" width="36.5703125" style="151" customWidth="1"/>
    <col min="887" max="1024" width="36.85546875" style="151"/>
    <col min="1025" max="1025" width="18.5703125" style="151" customWidth="1"/>
    <col min="1026" max="1034" width="31.42578125" style="151" customWidth="1"/>
    <col min="1035" max="1051" width="36.85546875" style="151" customWidth="1"/>
    <col min="1052" max="1052" width="37" style="151" customWidth="1"/>
    <col min="1053" max="1068" width="36.85546875" style="151" customWidth="1"/>
    <col min="1069" max="1069" width="37.140625" style="151" customWidth="1"/>
    <col min="1070" max="1071" width="36.85546875" style="151" customWidth="1"/>
    <col min="1072" max="1072" width="36.5703125" style="151" customWidth="1"/>
    <col min="1073" max="1074" width="36.85546875" style="151" customWidth="1"/>
    <col min="1075" max="1075" width="36.5703125" style="151" customWidth="1"/>
    <col min="1076" max="1076" width="37" style="151" customWidth="1"/>
    <col min="1077" max="1095" width="36.85546875" style="151" customWidth="1"/>
    <col min="1096" max="1096" width="37" style="151" customWidth="1"/>
    <col min="1097" max="1114" width="36.85546875" style="151" customWidth="1"/>
    <col min="1115" max="1115" width="36.5703125" style="151" customWidth="1"/>
    <col min="1116" max="1128" width="36.85546875" style="151" customWidth="1"/>
    <col min="1129" max="1129" width="36.5703125" style="151" customWidth="1"/>
    <col min="1130" max="1132" width="36.85546875" style="151" customWidth="1"/>
    <col min="1133" max="1133" width="36.5703125" style="151" customWidth="1"/>
    <col min="1134" max="1141" width="36.85546875" style="151" customWidth="1"/>
    <col min="1142" max="1142" width="36.5703125" style="151" customWidth="1"/>
    <col min="1143" max="1280" width="36.85546875" style="151"/>
    <col min="1281" max="1281" width="18.5703125" style="151" customWidth="1"/>
    <col min="1282" max="1290" width="31.42578125" style="151" customWidth="1"/>
    <col min="1291" max="1307" width="36.85546875" style="151" customWidth="1"/>
    <col min="1308" max="1308" width="37" style="151" customWidth="1"/>
    <col min="1309" max="1324" width="36.85546875" style="151" customWidth="1"/>
    <col min="1325" max="1325" width="37.140625" style="151" customWidth="1"/>
    <col min="1326" max="1327" width="36.85546875" style="151" customWidth="1"/>
    <col min="1328" max="1328" width="36.5703125" style="151" customWidth="1"/>
    <col min="1329" max="1330" width="36.85546875" style="151" customWidth="1"/>
    <col min="1331" max="1331" width="36.5703125" style="151" customWidth="1"/>
    <col min="1332" max="1332" width="37" style="151" customWidth="1"/>
    <col min="1333" max="1351" width="36.85546875" style="151" customWidth="1"/>
    <col min="1352" max="1352" width="37" style="151" customWidth="1"/>
    <col min="1353" max="1370" width="36.85546875" style="151" customWidth="1"/>
    <col min="1371" max="1371" width="36.5703125" style="151" customWidth="1"/>
    <col min="1372" max="1384" width="36.85546875" style="151" customWidth="1"/>
    <col min="1385" max="1385" width="36.5703125" style="151" customWidth="1"/>
    <col min="1386" max="1388" width="36.85546875" style="151" customWidth="1"/>
    <col min="1389" max="1389" width="36.5703125" style="151" customWidth="1"/>
    <col min="1390" max="1397" width="36.85546875" style="151" customWidth="1"/>
    <col min="1398" max="1398" width="36.5703125" style="151" customWidth="1"/>
    <col min="1399" max="1536" width="36.85546875" style="151"/>
    <col min="1537" max="1537" width="18.5703125" style="151" customWidth="1"/>
    <col min="1538" max="1546" width="31.42578125" style="151" customWidth="1"/>
    <col min="1547" max="1563" width="36.85546875" style="151" customWidth="1"/>
    <col min="1564" max="1564" width="37" style="151" customWidth="1"/>
    <col min="1565" max="1580" width="36.85546875" style="151" customWidth="1"/>
    <col min="1581" max="1581" width="37.140625" style="151" customWidth="1"/>
    <col min="1582" max="1583" width="36.85546875" style="151" customWidth="1"/>
    <col min="1584" max="1584" width="36.5703125" style="151" customWidth="1"/>
    <col min="1585" max="1586" width="36.85546875" style="151" customWidth="1"/>
    <col min="1587" max="1587" width="36.5703125" style="151" customWidth="1"/>
    <col min="1588" max="1588" width="37" style="151" customWidth="1"/>
    <col min="1589" max="1607" width="36.85546875" style="151" customWidth="1"/>
    <col min="1608" max="1608" width="37" style="151" customWidth="1"/>
    <col min="1609" max="1626" width="36.85546875" style="151" customWidth="1"/>
    <col min="1627" max="1627" width="36.5703125" style="151" customWidth="1"/>
    <col min="1628" max="1640" width="36.85546875" style="151" customWidth="1"/>
    <col min="1641" max="1641" width="36.5703125" style="151" customWidth="1"/>
    <col min="1642" max="1644" width="36.85546875" style="151" customWidth="1"/>
    <col min="1645" max="1645" width="36.5703125" style="151" customWidth="1"/>
    <col min="1646" max="1653" width="36.85546875" style="151" customWidth="1"/>
    <col min="1654" max="1654" width="36.5703125" style="151" customWidth="1"/>
    <col min="1655" max="1792" width="36.85546875" style="151"/>
    <col min="1793" max="1793" width="18.5703125" style="151" customWidth="1"/>
    <col min="1794" max="1802" width="31.42578125" style="151" customWidth="1"/>
    <col min="1803" max="1819" width="36.85546875" style="151" customWidth="1"/>
    <col min="1820" max="1820" width="37" style="151" customWidth="1"/>
    <col min="1821" max="1836" width="36.85546875" style="151" customWidth="1"/>
    <col min="1837" max="1837" width="37.140625" style="151" customWidth="1"/>
    <col min="1838" max="1839" width="36.85546875" style="151" customWidth="1"/>
    <col min="1840" max="1840" width="36.5703125" style="151" customWidth="1"/>
    <col min="1841" max="1842" width="36.85546875" style="151" customWidth="1"/>
    <col min="1843" max="1843" width="36.5703125" style="151" customWidth="1"/>
    <col min="1844" max="1844" width="37" style="151" customWidth="1"/>
    <col min="1845" max="1863" width="36.85546875" style="151" customWidth="1"/>
    <col min="1864" max="1864" width="37" style="151" customWidth="1"/>
    <col min="1865" max="1882" width="36.85546875" style="151" customWidth="1"/>
    <col min="1883" max="1883" width="36.5703125" style="151" customWidth="1"/>
    <col min="1884" max="1896" width="36.85546875" style="151" customWidth="1"/>
    <col min="1897" max="1897" width="36.5703125" style="151" customWidth="1"/>
    <col min="1898" max="1900" width="36.85546875" style="151" customWidth="1"/>
    <col min="1901" max="1901" width="36.5703125" style="151" customWidth="1"/>
    <col min="1902" max="1909" width="36.85546875" style="151" customWidth="1"/>
    <col min="1910" max="1910" width="36.5703125" style="151" customWidth="1"/>
    <col min="1911" max="2048" width="36.85546875" style="151"/>
    <col min="2049" max="2049" width="18.5703125" style="151" customWidth="1"/>
    <col min="2050" max="2058" width="31.42578125" style="151" customWidth="1"/>
    <col min="2059" max="2075" width="36.85546875" style="151" customWidth="1"/>
    <col min="2076" max="2076" width="37" style="151" customWidth="1"/>
    <col min="2077" max="2092" width="36.85546875" style="151" customWidth="1"/>
    <col min="2093" max="2093" width="37.140625" style="151" customWidth="1"/>
    <col min="2094" max="2095" width="36.85546875" style="151" customWidth="1"/>
    <col min="2096" max="2096" width="36.5703125" style="151" customWidth="1"/>
    <col min="2097" max="2098" width="36.85546875" style="151" customWidth="1"/>
    <col min="2099" max="2099" width="36.5703125" style="151" customWidth="1"/>
    <col min="2100" max="2100" width="37" style="151" customWidth="1"/>
    <col min="2101" max="2119" width="36.85546875" style="151" customWidth="1"/>
    <col min="2120" max="2120" width="37" style="151" customWidth="1"/>
    <col min="2121" max="2138" width="36.85546875" style="151" customWidth="1"/>
    <col min="2139" max="2139" width="36.5703125" style="151" customWidth="1"/>
    <col min="2140" max="2152" width="36.85546875" style="151" customWidth="1"/>
    <col min="2153" max="2153" width="36.5703125" style="151" customWidth="1"/>
    <col min="2154" max="2156" width="36.85546875" style="151" customWidth="1"/>
    <col min="2157" max="2157" width="36.5703125" style="151" customWidth="1"/>
    <col min="2158" max="2165" width="36.85546875" style="151" customWidth="1"/>
    <col min="2166" max="2166" width="36.5703125" style="151" customWidth="1"/>
    <col min="2167" max="2304" width="36.85546875" style="151"/>
    <col min="2305" max="2305" width="18.5703125" style="151" customWidth="1"/>
    <col min="2306" max="2314" width="31.42578125" style="151" customWidth="1"/>
    <col min="2315" max="2331" width="36.85546875" style="151" customWidth="1"/>
    <col min="2332" max="2332" width="37" style="151" customWidth="1"/>
    <col min="2333" max="2348" width="36.85546875" style="151" customWidth="1"/>
    <col min="2349" max="2349" width="37.140625" style="151" customWidth="1"/>
    <col min="2350" max="2351" width="36.85546875" style="151" customWidth="1"/>
    <col min="2352" max="2352" width="36.5703125" style="151" customWidth="1"/>
    <col min="2353" max="2354" width="36.85546875" style="151" customWidth="1"/>
    <col min="2355" max="2355" width="36.5703125" style="151" customWidth="1"/>
    <col min="2356" max="2356" width="37" style="151" customWidth="1"/>
    <col min="2357" max="2375" width="36.85546875" style="151" customWidth="1"/>
    <col min="2376" max="2376" width="37" style="151" customWidth="1"/>
    <col min="2377" max="2394" width="36.85546875" style="151" customWidth="1"/>
    <col min="2395" max="2395" width="36.5703125" style="151" customWidth="1"/>
    <col min="2396" max="2408" width="36.85546875" style="151" customWidth="1"/>
    <col min="2409" max="2409" width="36.5703125" style="151" customWidth="1"/>
    <col min="2410" max="2412" width="36.85546875" style="151" customWidth="1"/>
    <col min="2413" max="2413" width="36.5703125" style="151" customWidth="1"/>
    <col min="2414" max="2421" width="36.85546875" style="151" customWidth="1"/>
    <col min="2422" max="2422" width="36.5703125" style="151" customWidth="1"/>
    <col min="2423" max="2560" width="36.85546875" style="151"/>
    <col min="2561" max="2561" width="18.5703125" style="151" customWidth="1"/>
    <col min="2562" max="2570" width="31.42578125" style="151" customWidth="1"/>
    <col min="2571" max="2587" width="36.85546875" style="151" customWidth="1"/>
    <col min="2588" max="2588" width="37" style="151" customWidth="1"/>
    <col min="2589" max="2604" width="36.85546875" style="151" customWidth="1"/>
    <col min="2605" max="2605" width="37.140625" style="151" customWidth="1"/>
    <col min="2606" max="2607" width="36.85546875" style="151" customWidth="1"/>
    <col min="2608" max="2608" width="36.5703125" style="151" customWidth="1"/>
    <col min="2609" max="2610" width="36.85546875" style="151" customWidth="1"/>
    <col min="2611" max="2611" width="36.5703125" style="151" customWidth="1"/>
    <col min="2612" max="2612" width="37" style="151" customWidth="1"/>
    <col min="2613" max="2631" width="36.85546875" style="151" customWidth="1"/>
    <col min="2632" max="2632" width="37" style="151" customWidth="1"/>
    <col min="2633" max="2650" width="36.85546875" style="151" customWidth="1"/>
    <col min="2651" max="2651" width="36.5703125" style="151" customWidth="1"/>
    <col min="2652" max="2664" width="36.85546875" style="151" customWidth="1"/>
    <col min="2665" max="2665" width="36.5703125" style="151" customWidth="1"/>
    <col min="2666" max="2668" width="36.85546875" style="151" customWidth="1"/>
    <col min="2669" max="2669" width="36.5703125" style="151" customWidth="1"/>
    <col min="2670" max="2677" width="36.85546875" style="151" customWidth="1"/>
    <col min="2678" max="2678" width="36.5703125" style="151" customWidth="1"/>
    <col min="2679" max="2816" width="36.85546875" style="151"/>
    <col min="2817" max="2817" width="18.5703125" style="151" customWidth="1"/>
    <col min="2818" max="2826" width="31.42578125" style="151" customWidth="1"/>
    <col min="2827" max="2843" width="36.85546875" style="151" customWidth="1"/>
    <col min="2844" max="2844" width="37" style="151" customWidth="1"/>
    <col min="2845" max="2860" width="36.85546875" style="151" customWidth="1"/>
    <col min="2861" max="2861" width="37.140625" style="151" customWidth="1"/>
    <col min="2862" max="2863" width="36.85546875" style="151" customWidth="1"/>
    <col min="2864" max="2864" width="36.5703125" style="151" customWidth="1"/>
    <col min="2865" max="2866" width="36.85546875" style="151" customWidth="1"/>
    <col min="2867" max="2867" width="36.5703125" style="151" customWidth="1"/>
    <col min="2868" max="2868" width="37" style="151" customWidth="1"/>
    <col min="2869" max="2887" width="36.85546875" style="151" customWidth="1"/>
    <col min="2888" max="2888" width="37" style="151" customWidth="1"/>
    <col min="2889" max="2906" width="36.85546875" style="151" customWidth="1"/>
    <col min="2907" max="2907" width="36.5703125" style="151" customWidth="1"/>
    <col min="2908" max="2920" width="36.85546875" style="151" customWidth="1"/>
    <col min="2921" max="2921" width="36.5703125" style="151" customWidth="1"/>
    <col min="2922" max="2924" width="36.85546875" style="151" customWidth="1"/>
    <col min="2925" max="2925" width="36.5703125" style="151" customWidth="1"/>
    <col min="2926" max="2933" width="36.85546875" style="151" customWidth="1"/>
    <col min="2934" max="2934" width="36.5703125" style="151" customWidth="1"/>
    <col min="2935" max="3072" width="36.85546875" style="151"/>
    <col min="3073" max="3073" width="18.5703125" style="151" customWidth="1"/>
    <col min="3074" max="3082" width="31.42578125" style="151" customWidth="1"/>
    <col min="3083" max="3099" width="36.85546875" style="151" customWidth="1"/>
    <col min="3100" max="3100" width="37" style="151" customWidth="1"/>
    <col min="3101" max="3116" width="36.85546875" style="151" customWidth="1"/>
    <col min="3117" max="3117" width="37.140625" style="151" customWidth="1"/>
    <col min="3118" max="3119" width="36.85546875" style="151" customWidth="1"/>
    <col min="3120" max="3120" width="36.5703125" style="151" customWidth="1"/>
    <col min="3121" max="3122" width="36.85546875" style="151" customWidth="1"/>
    <col min="3123" max="3123" width="36.5703125" style="151" customWidth="1"/>
    <col min="3124" max="3124" width="37" style="151" customWidth="1"/>
    <col min="3125" max="3143" width="36.85546875" style="151" customWidth="1"/>
    <col min="3144" max="3144" width="37" style="151" customWidth="1"/>
    <col min="3145" max="3162" width="36.85546875" style="151" customWidth="1"/>
    <col min="3163" max="3163" width="36.5703125" style="151" customWidth="1"/>
    <col min="3164" max="3176" width="36.85546875" style="151" customWidth="1"/>
    <col min="3177" max="3177" width="36.5703125" style="151" customWidth="1"/>
    <col min="3178" max="3180" width="36.85546875" style="151" customWidth="1"/>
    <col min="3181" max="3181" width="36.5703125" style="151" customWidth="1"/>
    <col min="3182" max="3189" width="36.85546875" style="151" customWidth="1"/>
    <col min="3190" max="3190" width="36.5703125" style="151" customWidth="1"/>
    <col min="3191" max="3328" width="36.85546875" style="151"/>
    <col min="3329" max="3329" width="18.5703125" style="151" customWidth="1"/>
    <col min="3330" max="3338" width="31.42578125" style="151" customWidth="1"/>
    <col min="3339" max="3355" width="36.85546875" style="151" customWidth="1"/>
    <col min="3356" max="3356" width="37" style="151" customWidth="1"/>
    <col min="3357" max="3372" width="36.85546875" style="151" customWidth="1"/>
    <col min="3373" max="3373" width="37.140625" style="151" customWidth="1"/>
    <col min="3374" max="3375" width="36.85546875" style="151" customWidth="1"/>
    <col min="3376" max="3376" width="36.5703125" style="151" customWidth="1"/>
    <col min="3377" max="3378" width="36.85546875" style="151" customWidth="1"/>
    <col min="3379" max="3379" width="36.5703125" style="151" customWidth="1"/>
    <col min="3380" max="3380" width="37" style="151" customWidth="1"/>
    <col min="3381" max="3399" width="36.85546875" style="151" customWidth="1"/>
    <col min="3400" max="3400" width="37" style="151" customWidth="1"/>
    <col min="3401" max="3418" width="36.85546875" style="151" customWidth="1"/>
    <col min="3419" max="3419" width="36.5703125" style="151" customWidth="1"/>
    <col min="3420" max="3432" width="36.85546875" style="151" customWidth="1"/>
    <col min="3433" max="3433" width="36.5703125" style="151" customWidth="1"/>
    <col min="3434" max="3436" width="36.85546875" style="151" customWidth="1"/>
    <col min="3437" max="3437" width="36.5703125" style="151" customWidth="1"/>
    <col min="3438" max="3445" width="36.85546875" style="151" customWidth="1"/>
    <col min="3446" max="3446" width="36.5703125" style="151" customWidth="1"/>
    <col min="3447" max="3584" width="36.85546875" style="151"/>
    <col min="3585" max="3585" width="18.5703125" style="151" customWidth="1"/>
    <col min="3586" max="3594" width="31.42578125" style="151" customWidth="1"/>
    <col min="3595" max="3611" width="36.85546875" style="151" customWidth="1"/>
    <col min="3612" max="3612" width="37" style="151" customWidth="1"/>
    <col min="3613" max="3628" width="36.85546875" style="151" customWidth="1"/>
    <col min="3629" max="3629" width="37.140625" style="151" customWidth="1"/>
    <col min="3630" max="3631" width="36.85546875" style="151" customWidth="1"/>
    <col min="3632" max="3632" width="36.5703125" style="151" customWidth="1"/>
    <col min="3633" max="3634" width="36.85546875" style="151" customWidth="1"/>
    <col min="3635" max="3635" width="36.5703125" style="151" customWidth="1"/>
    <col min="3636" max="3636" width="37" style="151" customWidth="1"/>
    <col min="3637" max="3655" width="36.85546875" style="151" customWidth="1"/>
    <col min="3656" max="3656" width="37" style="151" customWidth="1"/>
    <col min="3657" max="3674" width="36.85546875" style="151" customWidth="1"/>
    <col min="3675" max="3675" width="36.5703125" style="151" customWidth="1"/>
    <col min="3676" max="3688" width="36.85546875" style="151" customWidth="1"/>
    <col min="3689" max="3689" width="36.5703125" style="151" customWidth="1"/>
    <col min="3690" max="3692" width="36.85546875" style="151" customWidth="1"/>
    <col min="3693" max="3693" width="36.5703125" style="151" customWidth="1"/>
    <col min="3694" max="3701" width="36.85546875" style="151" customWidth="1"/>
    <col min="3702" max="3702" width="36.5703125" style="151" customWidth="1"/>
    <col min="3703" max="3840" width="36.85546875" style="151"/>
    <col min="3841" max="3841" width="18.5703125" style="151" customWidth="1"/>
    <col min="3842" max="3850" width="31.42578125" style="151" customWidth="1"/>
    <col min="3851" max="3867" width="36.85546875" style="151" customWidth="1"/>
    <col min="3868" max="3868" width="37" style="151" customWidth="1"/>
    <col min="3869" max="3884" width="36.85546875" style="151" customWidth="1"/>
    <col min="3885" max="3885" width="37.140625" style="151" customWidth="1"/>
    <col min="3886" max="3887" width="36.85546875" style="151" customWidth="1"/>
    <col min="3888" max="3888" width="36.5703125" style="151" customWidth="1"/>
    <col min="3889" max="3890" width="36.85546875" style="151" customWidth="1"/>
    <col min="3891" max="3891" width="36.5703125" style="151" customWidth="1"/>
    <col min="3892" max="3892" width="37" style="151" customWidth="1"/>
    <col min="3893" max="3911" width="36.85546875" style="151" customWidth="1"/>
    <col min="3912" max="3912" width="37" style="151" customWidth="1"/>
    <col min="3913" max="3930" width="36.85546875" style="151" customWidth="1"/>
    <col min="3931" max="3931" width="36.5703125" style="151" customWidth="1"/>
    <col min="3932" max="3944" width="36.85546875" style="151" customWidth="1"/>
    <col min="3945" max="3945" width="36.5703125" style="151" customWidth="1"/>
    <col min="3946" max="3948" width="36.85546875" style="151" customWidth="1"/>
    <col min="3949" max="3949" width="36.5703125" style="151" customWidth="1"/>
    <col min="3950" max="3957" width="36.85546875" style="151" customWidth="1"/>
    <col min="3958" max="3958" width="36.5703125" style="151" customWidth="1"/>
    <col min="3959" max="4096" width="36.85546875" style="151"/>
    <col min="4097" max="4097" width="18.5703125" style="151" customWidth="1"/>
    <col min="4098" max="4106" width="31.42578125" style="151" customWidth="1"/>
    <col min="4107" max="4123" width="36.85546875" style="151" customWidth="1"/>
    <col min="4124" max="4124" width="37" style="151" customWidth="1"/>
    <col min="4125" max="4140" width="36.85546875" style="151" customWidth="1"/>
    <col min="4141" max="4141" width="37.140625" style="151" customWidth="1"/>
    <col min="4142" max="4143" width="36.85546875" style="151" customWidth="1"/>
    <col min="4144" max="4144" width="36.5703125" style="151" customWidth="1"/>
    <col min="4145" max="4146" width="36.85546875" style="151" customWidth="1"/>
    <col min="4147" max="4147" width="36.5703125" style="151" customWidth="1"/>
    <col min="4148" max="4148" width="37" style="151" customWidth="1"/>
    <col min="4149" max="4167" width="36.85546875" style="151" customWidth="1"/>
    <col min="4168" max="4168" width="37" style="151" customWidth="1"/>
    <col min="4169" max="4186" width="36.85546875" style="151" customWidth="1"/>
    <col min="4187" max="4187" width="36.5703125" style="151" customWidth="1"/>
    <col min="4188" max="4200" width="36.85546875" style="151" customWidth="1"/>
    <col min="4201" max="4201" width="36.5703125" style="151" customWidth="1"/>
    <col min="4202" max="4204" width="36.85546875" style="151" customWidth="1"/>
    <col min="4205" max="4205" width="36.5703125" style="151" customWidth="1"/>
    <col min="4206" max="4213" width="36.85546875" style="151" customWidth="1"/>
    <col min="4214" max="4214" width="36.5703125" style="151" customWidth="1"/>
    <col min="4215" max="4352" width="36.85546875" style="151"/>
    <col min="4353" max="4353" width="18.5703125" style="151" customWidth="1"/>
    <col min="4354" max="4362" width="31.42578125" style="151" customWidth="1"/>
    <col min="4363" max="4379" width="36.85546875" style="151" customWidth="1"/>
    <col min="4380" max="4380" width="37" style="151" customWidth="1"/>
    <col min="4381" max="4396" width="36.85546875" style="151" customWidth="1"/>
    <col min="4397" max="4397" width="37.140625" style="151" customWidth="1"/>
    <col min="4398" max="4399" width="36.85546875" style="151" customWidth="1"/>
    <col min="4400" max="4400" width="36.5703125" style="151" customWidth="1"/>
    <col min="4401" max="4402" width="36.85546875" style="151" customWidth="1"/>
    <col min="4403" max="4403" width="36.5703125" style="151" customWidth="1"/>
    <col min="4404" max="4404" width="37" style="151" customWidth="1"/>
    <col min="4405" max="4423" width="36.85546875" style="151" customWidth="1"/>
    <col min="4424" max="4424" width="37" style="151" customWidth="1"/>
    <col min="4425" max="4442" width="36.85546875" style="151" customWidth="1"/>
    <col min="4443" max="4443" width="36.5703125" style="151" customWidth="1"/>
    <col min="4444" max="4456" width="36.85546875" style="151" customWidth="1"/>
    <col min="4457" max="4457" width="36.5703125" style="151" customWidth="1"/>
    <col min="4458" max="4460" width="36.85546875" style="151" customWidth="1"/>
    <col min="4461" max="4461" width="36.5703125" style="151" customWidth="1"/>
    <col min="4462" max="4469" width="36.85546875" style="151" customWidth="1"/>
    <col min="4470" max="4470" width="36.5703125" style="151" customWidth="1"/>
    <col min="4471" max="4608" width="36.85546875" style="151"/>
    <col min="4609" max="4609" width="18.5703125" style="151" customWidth="1"/>
    <col min="4610" max="4618" width="31.42578125" style="151" customWidth="1"/>
    <col min="4619" max="4635" width="36.85546875" style="151" customWidth="1"/>
    <col min="4636" max="4636" width="37" style="151" customWidth="1"/>
    <col min="4637" max="4652" width="36.85546875" style="151" customWidth="1"/>
    <col min="4653" max="4653" width="37.140625" style="151" customWidth="1"/>
    <col min="4654" max="4655" width="36.85546875" style="151" customWidth="1"/>
    <col min="4656" max="4656" width="36.5703125" style="151" customWidth="1"/>
    <col min="4657" max="4658" width="36.85546875" style="151" customWidth="1"/>
    <col min="4659" max="4659" width="36.5703125" style="151" customWidth="1"/>
    <col min="4660" max="4660" width="37" style="151" customWidth="1"/>
    <col min="4661" max="4679" width="36.85546875" style="151" customWidth="1"/>
    <col min="4680" max="4680" width="37" style="151" customWidth="1"/>
    <col min="4681" max="4698" width="36.85546875" style="151" customWidth="1"/>
    <col min="4699" max="4699" width="36.5703125" style="151" customWidth="1"/>
    <col min="4700" max="4712" width="36.85546875" style="151" customWidth="1"/>
    <col min="4713" max="4713" width="36.5703125" style="151" customWidth="1"/>
    <col min="4714" max="4716" width="36.85546875" style="151" customWidth="1"/>
    <col min="4717" max="4717" width="36.5703125" style="151" customWidth="1"/>
    <col min="4718" max="4725" width="36.85546875" style="151" customWidth="1"/>
    <col min="4726" max="4726" width="36.5703125" style="151" customWidth="1"/>
    <col min="4727" max="4864" width="36.85546875" style="151"/>
    <col min="4865" max="4865" width="18.5703125" style="151" customWidth="1"/>
    <col min="4866" max="4874" width="31.42578125" style="151" customWidth="1"/>
    <col min="4875" max="4891" width="36.85546875" style="151" customWidth="1"/>
    <col min="4892" max="4892" width="37" style="151" customWidth="1"/>
    <col min="4893" max="4908" width="36.85546875" style="151" customWidth="1"/>
    <col min="4909" max="4909" width="37.140625" style="151" customWidth="1"/>
    <col min="4910" max="4911" width="36.85546875" style="151" customWidth="1"/>
    <col min="4912" max="4912" width="36.5703125" style="151" customWidth="1"/>
    <col min="4913" max="4914" width="36.85546875" style="151" customWidth="1"/>
    <col min="4915" max="4915" width="36.5703125" style="151" customWidth="1"/>
    <col min="4916" max="4916" width="37" style="151" customWidth="1"/>
    <col min="4917" max="4935" width="36.85546875" style="151" customWidth="1"/>
    <col min="4936" max="4936" width="37" style="151" customWidth="1"/>
    <col min="4937" max="4954" width="36.85546875" style="151" customWidth="1"/>
    <col min="4955" max="4955" width="36.5703125" style="151" customWidth="1"/>
    <col min="4956" max="4968" width="36.85546875" style="151" customWidth="1"/>
    <col min="4969" max="4969" width="36.5703125" style="151" customWidth="1"/>
    <col min="4970" max="4972" width="36.85546875" style="151" customWidth="1"/>
    <col min="4973" max="4973" width="36.5703125" style="151" customWidth="1"/>
    <col min="4974" max="4981" width="36.85546875" style="151" customWidth="1"/>
    <col min="4982" max="4982" width="36.5703125" style="151" customWidth="1"/>
    <col min="4983" max="5120" width="36.85546875" style="151"/>
    <col min="5121" max="5121" width="18.5703125" style="151" customWidth="1"/>
    <col min="5122" max="5130" width="31.42578125" style="151" customWidth="1"/>
    <col min="5131" max="5147" width="36.85546875" style="151" customWidth="1"/>
    <col min="5148" max="5148" width="37" style="151" customWidth="1"/>
    <col min="5149" max="5164" width="36.85546875" style="151" customWidth="1"/>
    <col min="5165" max="5165" width="37.140625" style="151" customWidth="1"/>
    <col min="5166" max="5167" width="36.85546875" style="151" customWidth="1"/>
    <col min="5168" max="5168" width="36.5703125" style="151" customWidth="1"/>
    <col min="5169" max="5170" width="36.85546875" style="151" customWidth="1"/>
    <col min="5171" max="5171" width="36.5703125" style="151" customWidth="1"/>
    <col min="5172" max="5172" width="37" style="151" customWidth="1"/>
    <col min="5173" max="5191" width="36.85546875" style="151" customWidth="1"/>
    <col min="5192" max="5192" width="37" style="151" customWidth="1"/>
    <col min="5193" max="5210" width="36.85546875" style="151" customWidth="1"/>
    <col min="5211" max="5211" width="36.5703125" style="151" customWidth="1"/>
    <col min="5212" max="5224" width="36.85546875" style="151" customWidth="1"/>
    <col min="5225" max="5225" width="36.5703125" style="151" customWidth="1"/>
    <col min="5226" max="5228" width="36.85546875" style="151" customWidth="1"/>
    <col min="5229" max="5229" width="36.5703125" style="151" customWidth="1"/>
    <col min="5230" max="5237" width="36.85546875" style="151" customWidth="1"/>
    <col min="5238" max="5238" width="36.5703125" style="151" customWidth="1"/>
    <col min="5239" max="5376" width="36.85546875" style="151"/>
    <col min="5377" max="5377" width="18.5703125" style="151" customWidth="1"/>
    <col min="5378" max="5386" width="31.42578125" style="151" customWidth="1"/>
    <col min="5387" max="5403" width="36.85546875" style="151" customWidth="1"/>
    <col min="5404" max="5404" width="37" style="151" customWidth="1"/>
    <col min="5405" max="5420" width="36.85546875" style="151" customWidth="1"/>
    <col min="5421" max="5421" width="37.140625" style="151" customWidth="1"/>
    <col min="5422" max="5423" width="36.85546875" style="151" customWidth="1"/>
    <col min="5424" max="5424" width="36.5703125" style="151" customWidth="1"/>
    <col min="5425" max="5426" width="36.85546875" style="151" customWidth="1"/>
    <col min="5427" max="5427" width="36.5703125" style="151" customWidth="1"/>
    <col min="5428" max="5428" width="37" style="151" customWidth="1"/>
    <col min="5429" max="5447" width="36.85546875" style="151" customWidth="1"/>
    <col min="5448" max="5448" width="37" style="151" customWidth="1"/>
    <col min="5449" max="5466" width="36.85546875" style="151" customWidth="1"/>
    <col min="5467" max="5467" width="36.5703125" style="151" customWidth="1"/>
    <col min="5468" max="5480" width="36.85546875" style="151" customWidth="1"/>
    <col min="5481" max="5481" width="36.5703125" style="151" customWidth="1"/>
    <col min="5482" max="5484" width="36.85546875" style="151" customWidth="1"/>
    <col min="5485" max="5485" width="36.5703125" style="151" customWidth="1"/>
    <col min="5486" max="5493" width="36.85546875" style="151" customWidth="1"/>
    <col min="5494" max="5494" width="36.5703125" style="151" customWidth="1"/>
    <col min="5495" max="5632" width="36.85546875" style="151"/>
    <col min="5633" max="5633" width="18.5703125" style="151" customWidth="1"/>
    <col min="5634" max="5642" width="31.42578125" style="151" customWidth="1"/>
    <col min="5643" max="5659" width="36.85546875" style="151" customWidth="1"/>
    <col min="5660" max="5660" width="37" style="151" customWidth="1"/>
    <col min="5661" max="5676" width="36.85546875" style="151" customWidth="1"/>
    <col min="5677" max="5677" width="37.140625" style="151" customWidth="1"/>
    <col min="5678" max="5679" width="36.85546875" style="151" customWidth="1"/>
    <col min="5680" max="5680" width="36.5703125" style="151" customWidth="1"/>
    <col min="5681" max="5682" width="36.85546875" style="151" customWidth="1"/>
    <col min="5683" max="5683" width="36.5703125" style="151" customWidth="1"/>
    <col min="5684" max="5684" width="37" style="151" customWidth="1"/>
    <col min="5685" max="5703" width="36.85546875" style="151" customWidth="1"/>
    <col min="5704" max="5704" width="37" style="151" customWidth="1"/>
    <col min="5705" max="5722" width="36.85546875" style="151" customWidth="1"/>
    <col min="5723" max="5723" width="36.5703125" style="151" customWidth="1"/>
    <col min="5724" max="5736" width="36.85546875" style="151" customWidth="1"/>
    <col min="5737" max="5737" width="36.5703125" style="151" customWidth="1"/>
    <col min="5738" max="5740" width="36.85546875" style="151" customWidth="1"/>
    <col min="5741" max="5741" width="36.5703125" style="151" customWidth="1"/>
    <col min="5742" max="5749" width="36.85546875" style="151" customWidth="1"/>
    <col min="5750" max="5750" width="36.5703125" style="151" customWidth="1"/>
    <col min="5751" max="5888" width="36.85546875" style="151"/>
    <col min="5889" max="5889" width="18.5703125" style="151" customWidth="1"/>
    <col min="5890" max="5898" width="31.42578125" style="151" customWidth="1"/>
    <col min="5899" max="5915" width="36.85546875" style="151" customWidth="1"/>
    <col min="5916" max="5916" width="37" style="151" customWidth="1"/>
    <col min="5917" max="5932" width="36.85546875" style="151" customWidth="1"/>
    <col min="5933" max="5933" width="37.140625" style="151" customWidth="1"/>
    <col min="5934" max="5935" width="36.85546875" style="151" customWidth="1"/>
    <col min="5936" max="5936" width="36.5703125" style="151" customWidth="1"/>
    <col min="5937" max="5938" width="36.85546875" style="151" customWidth="1"/>
    <col min="5939" max="5939" width="36.5703125" style="151" customWidth="1"/>
    <col min="5940" max="5940" width="37" style="151" customWidth="1"/>
    <col min="5941" max="5959" width="36.85546875" style="151" customWidth="1"/>
    <col min="5960" max="5960" width="37" style="151" customWidth="1"/>
    <col min="5961" max="5978" width="36.85546875" style="151" customWidth="1"/>
    <col min="5979" max="5979" width="36.5703125" style="151" customWidth="1"/>
    <col min="5980" max="5992" width="36.85546875" style="151" customWidth="1"/>
    <col min="5993" max="5993" width="36.5703125" style="151" customWidth="1"/>
    <col min="5994" max="5996" width="36.85546875" style="151" customWidth="1"/>
    <col min="5997" max="5997" width="36.5703125" style="151" customWidth="1"/>
    <col min="5998" max="6005" width="36.85546875" style="151" customWidth="1"/>
    <col min="6006" max="6006" width="36.5703125" style="151" customWidth="1"/>
    <col min="6007" max="6144" width="36.85546875" style="151"/>
    <col min="6145" max="6145" width="18.5703125" style="151" customWidth="1"/>
    <col min="6146" max="6154" width="31.42578125" style="151" customWidth="1"/>
    <col min="6155" max="6171" width="36.85546875" style="151" customWidth="1"/>
    <col min="6172" max="6172" width="37" style="151" customWidth="1"/>
    <col min="6173" max="6188" width="36.85546875" style="151" customWidth="1"/>
    <col min="6189" max="6189" width="37.140625" style="151" customWidth="1"/>
    <col min="6190" max="6191" width="36.85546875" style="151" customWidth="1"/>
    <col min="6192" max="6192" width="36.5703125" style="151" customWidth="1"/>
    <col min="6193" max="6194" width="36.85546875" style="151" customWidth="1"/>
    <col min="6195" max="6195" width="36.5703125" style="151" customWidth="1"/>
    <col min="6196" max="6196" width="37" style="151" customWidth="1"/>
    <col min="6197" max="6215" width="36.85546875" style="151" customWidth="1"/>
    <col min="6216" max="6216" width="37" style="151" customWidth="1"/>
    <col min="6217" max="6234" width="36.85546875" style="151" customWidth="1"/>
    <col min="6235" max="6235" width="36.5703125" style="151" customWidth="1"/>
    <col min="6236" max="6248" width="36.85546875" style="151" customWidth="1"/>
    <col min="6249" max="6249" width="36.5703125" style="151" customWidth="1"/>
    <col min="6250" max="6252" width="36.85546875" style="151" customWidth="1"/>
    <col min="6253" max="6253" width="36.5703125" style="151" customWidth="1"/>
    <col min="6254" max="6261" width="36.85546875" style="151" customWidth="1"/>
    <col min="6262" max="6262" width="36.5703125" style="151" customWidth="1"/>
    <col min="6263" max="6400" width="36.85546875" style="151"/>
    <col min="6401" max="6401" width="18.5703125" style="151" customWidth="1"/>
    <col min="6402" max="6410" width="31.42578125" style="151" customWidth="1"/>
    <col min="6411" max="6427" width="36.85546875" style="151" customWidth="1"/>
    <col min="6428" max="6428" width="37" style="151" customWidth="1"/>
    <col min="6429" max="6444" width="36.85546875" style="151" customWidth="1"/>
    <col min="6445" max="6445" width="37.140625" style="151" customWidth="1"/>
    <col min="6446" max="6447" width="36.85546875" style="151" customWidth="1"/>
    <col min="6448" max="6448" width="36.5703125" style="151" customWidth="1"/>
    <col min="6449" max="6450" width="36.85546875" style="151" customWidth="1"/>
    <col min="6451" max="6451" width="36.5703125" style="151" customWidth="1"/>
    <col min="6452" max="6452" width="37" style="151" customWidth="1"/>
    <col min="6453" max="6471" width="36.85546875" style="151" customWidth="1"/>
    <col min="6472" max="6472" width="37" style="151" customWidth="1"/>
    <col min="6473" max="6490" width="36.85546875" style="151" customWidth="1"/>
    <col min="6491" max="6491" width="36.5703125" style="151" customWidth="1"/>
    <col min="6492" max="6504" width="36.85546875" style="151" customWidth="1"/>
    <col min="6505" max="6505" width="36.5703125" style="151" customWidth="1"/>
    <col min="6506" max="6508" width="36.85546875" style="151" customWidth="1"/>
    <col min="6509" max="6509" width="36.5703125" style="151" customWidth="1"/>
    <col min="6510" max="6517" width="36.85546875" style="151" customWidth="1"/>
    <col min="6518" max="6518" width="36.5703125" style="151" customWidth="1"/>
    <col min="6519" max="6656" width="36.85546875" style="151"/>
    <col min="6657" max="6657" width="18.5703125" style="151" customWidth="1"/>
    <col min="6658" max="6666" width="31.42578125" style="151" customWidth="1"/>
    <col min="6667" max="6683" width="36.85546875" style="151" customWidth="1"/>
    <col min="6684" max="6684" width="37" style="151" customWidth="1"/>
    <col min="6685" max="6700" width="36.85546875" style="151" customWidth="1"/>
    <col min="6701" max="6701" width="37.140625" style="151" customWidth="1"/>
    <col min="6702" max="6703" width="36.85546875" style="151" customWidth="1"/>
    <col min="6704" max="6704" width="36.5703125" style="151" customWidth="1"/>
    <col min="6705" max="6706" width="36.85546875" style="151" customWidth="1"/>
    <col min="6707" max="6707" width="36.5703125" style="151" customWidth="1"/>
    <col min="6708" max="6708" width="37" style="151" customWidth="1"/>
    <col min="6709" max="6727" width="36.85546875" style="151" customWidth="1"/>
    <col min="6728" max="6728" width="37" style="151" customWidth="1"/>
    <col min="6729" max="6746" width="36.85546875" style="151" customWidth="1"/>
    <col min="6747" max="6747" width="36.5703125" style="151" customWidth="1"/>
    <col min="6748" max="6760" width="36.85546875" style="151" customWidth="1"/>
    <col min="6761" max="6761" width="36.5703125" style="151" customWidth="1"/>
    <col min="6762" max="6764" width="36.85546875" style="151" customWidth="1"/>
    <col min="6765" max="6765" width="36.5703125" style="151" customWidth="1"/>
    <col min="6766" max="6773" width="36.85546875" style="151" customWidth="1"/>
    <col min="6774" max="6774" width="36.5703125" style="151" customWidth="1"/>
    <col min="6775" max="6912" width="36.85546875" style="151"/>
    <col min="6913" max="6913" width="18.5703125" style="151" customWidth="1"/>
    <col min="6914" max="6922" width="31.42578125" style="151" customWidth="1"/>
    <col min="6923" max="6939" width="36.85546875" style="151" customWidth="1"/>
    <col min="6940" max="6940" width="37" style="151" customWidth="1"/>
    <col min="6941" max="6956" width="36.85546875" style="151" customWidth="1"/>
    <col min="6957" max="6957" width="37.140625" style="151" customWidth="1"/>
    <col min="6958" max="6959" width="36.85546875" style="151" customWidth="1"/>
    <col min="6960" max="6960" width="36.5703125" style="151" customWidth="1"/>
    <col min="6961" max="6962" width="36.85546875" style="151" customWidth="1"/>
    <col min="6963" max="6963" width="36.5703125" style="151" customWidth="1"/>
    <col min="6964" max="6964" width="37" style="151" customWidth="1"/>
    <col min="6965" max="6983" width="36.85546875" style="151" customWidth="1"/>
    <col min="6984" max="6984" width="37" style="151" customWidth="1"/>
    <col min="6985" max="7002" width="36.85546875" style="151" customWidth="1"/>
    <col min="7003" max="7003" width="36.5703125" style="151" customWidth="1"/>
    <col min="7004" max="7016" width="36.85546875" style="151" customWidth="1"/>
    <col min="7017" max="7017" width="36.5703125" style="151" customWidth="1"/>
    <col min="7018" max="7020" width="36.85546875" style="151" customWidth="1"/>
    <col min="7021" max="7021" width="36.5703125" style="151" customWidth="1"/>
    <col min="7022" max="7029" width="36.85546875" style="151" customWidth="1"/>
    <col min="7030" max="7030" width="36.5703125" style="151" customWidth="1"/>
    <col min="7031" max="7168" width="36.85546875" style="151"/>
    <col min="7169" max="7169" width="18.5703125" style="151" customWidth="1"/>
    <col min="7170" max="7178" width="31.42578125" style="151" customWidth="1"/>
    <col min="7179" max="7195" width="36.85546875" style="151" customWidth="1"/>
    <col min="7196" max="7196" width="37" style="151" customWidth="1"/>
    <col min="7197" max="7212" width="36.85546875" style="151" customWidth="1"/>
    <col min="7213" max="7213" width="37.140625" style="151" customWidth="1"/>
    <col min="7214" max="7215" width="36.85546875" style="151" customWidth="1"/>
    <col min="7216" max="7216" width="36.5703125" style="151" customWidth="1"/>
    <col min="7217" max="7218" width="36.85546875" style="151" customWidth="1"/>
    <col min="7219" max="7219" width="36.5703125" style="151" customWidth="1"/>
    <col min="7220" max="7220" width="37" style="151" customWidth="1"/>
    <col min="7221" max="7239" width="36.85546875" style="151" customWidth="1"/>
    <col min="7240" max="7240" width="37" style="151" customWidth="1"/>
    <col min="7241" max="7258" width="36.85546875" style="151" customWidth="1"/>
    <col min="7259" max="7259" width="36.5703125" style="151" customWidth="1"/>
    <col min="7260" max="7272" width="36.85546875" style="151" customWidth="1"/>
    <col min="7273" max="7273" width="36.5703125" style="151" customWidth="1"/>
    <col min="7274" max="7276" width="36.85546875" style="151" customWidth="1"/>
    <col min="7277" max="7277" width="36.5703125" style="151" customWidth="1"/>
    <col min="7278" max="7285" width="36.85546875" style="151" customWidth="1"/>
    <col min="7286" max="7286" width="36.5703125" style="151" customWidth="1"/>
    <col min="7287" max="7424" width="36.85546875" style="151"/>
    <col min="7425" max="7425" width="18.5703125" style="151" customWidth="1"/>
    <col min="7426" max="7434" width="31.42578125" style="151" customWidth="1"/>
    <col min="7435" max="7451" width="36.85546875" style="151" customWidth="1"/>
    <col min="7452" max="7452" width="37" style="151" customWidth="1"/>
    <col min="7453" max="7468" width="36.85546875" style="151" customWidth="1"/>
    <col min="7469" max="7469" width="37.140625" style="151" customWidth="1"/>
    <col min="7470" max="7471" width="36.85546875" style="151" customWidth="1"/>
    <col min="7472" max="7472" width="36.5703125" style="151" customWidth="1"/>
    <col min="7473" max="7474" width="36.85546875" style="151" customWidth="1"/>
    <col min="7475" max="7475" width="36.5703125" style="151" customWidth="1"/>
    <col min="7476" max="7476" width="37" style="151" customWidth="1"/>
    <col min="7477" max="7495" width="36.85546875" style="151" customWidth="1"/>
    <col min="7496" max="7496" width="37" style="151" customWidth="1"/>
    <col min="7497" max="7514" width="36.85546875" style="151" customWidth="1"/>
    <col min="7515" max="7515" width="36.5703125" style="151" customWidth="1"/>
    <col min="7516" max="7528" width="36.85546875" style="151" customWidth="1"/>
    <col min="7529" max="7529" width="36.5703125" style="151" customWidth="1"/>
    <col min="7530" max="7532" width="36.85546875" style="151" customWidth="1"/>
    <col min="7533" max="7533" width="36.5703125" style="151" customWidth="1"/>
    <col min="7534" max="7541" width="36.85546875" style="151" customWidth="1"/>
    <col min="7542" max="7542" width="36.5703125" style="151" customWidth="1"/>
    <col min="7543" max="7680" width="36.85546875" style="151"/>
    <col min="7681" max="7681" width="18.5703125" style="151" customWidth="1"/>
    <col min="7682" max="7690" width="31.42578125" style="151" customWidth="1"/>
    <col min="7691" max="7707" width="36.85546875" style="151" customWidth="1"/>
    <col min="7708" max="7708" width="37" style="151" customWidth="1"/>
    <col min="7709" max="7724" width="36.85546875" style="151" customWidth="1"/>
    <col min="7725" max="7725" width="37.140625" style="151" customWidth="1"/>
    <col min="7726" max="7727" width="36.85546875" style="151" customWidth="1"/>
    <col min="7728" max="7728" width="36.5703125" style="151" customWidth="1"/>
    <col min="7729" max="7730" width="36.85546875" style="151" customWidth="1"/>
    <col min="7731" max="7731" width="36.5703125" style="151" customWidth="1"/>
    <col min="7732" max="7732" width="37" style="151" customWidth="1"/>
    <col min="7733" max="7751" width="36.85546875" style="151" customWidth="1"/>
    <col min="7752" max="7752" width="37" style="151" customWidth="1"/>
    <col min="7753" max="7770" width="36.85546875" style="151" customWidth="1"/>
    <col min="7771" max="7771" width="36.5703125" style="151" customWidth="1"/>
    <col min="7772" max="7784" width="36.85546875" style="151" customWidth="1"/>
    <col min="7785" max="7785" width="36.5703125" style="151" customWidth="1"/>
    <col min="7786" max="7788" width="36.85546875" style="151" customWidth="1"/>
    <col min="7789" max="7789" width="36.5703125" style="151" customWidth="1"/>
    <col min="7790" max="7797" width="36.85546875" style="151" customWidth="1"/>
    <col min="7798" max="7798" width="36.5703125" style="151" customWidth="1"/>
    <col min="7799" max="7936" width="36.85546875" style="151"/>
    <col min="7937" max="7937" width="18.5703125" style="151" customWidth="1"/>
    <col min="7938" max="7946" width="31.42578125" style="151" customWidth="1"/>
    <col min="7947" max="7963" width="36.85546875" style="151" customWidth="1"/>
    <col min="7964" max="7964" width="37" style="151" customWidth="1"/>
    <col min="7965" max="7980" width="36.85546875" style="151" customWidth="1"/>
    <col min="7981" max="7981" width="37.140625" style="151" customWidth="1"/>
    <col min="7982" max="7983" width="36.85546875" style="151" customWidth="1"/>
    <col min="7984" max="7984" width="36.5703125" style="151" customWidth="1"/>
    <col min="7985" max="7986" width="36.85546875" style="151" customWidth="1"/>
    <col min="7987" max="7987" width="36.5703125" style="151" customWidth="1"/>
    <col min="7988" max="7988" width="37" style="151" customWidth="1"/>
    <col min="7989" max="8007" width="36.85546875" style="151" customWidth="1"/>
    <col min="8008" max="8008" width="37" style="151" customWidth="1"/>
    <col min="8009" max="8026" width="36.85546875" style="151" customWidth="1"/>
    <col min="8027" max="8027" width="36.5703125" style="151" customWidth="1"/>
    <col min="8028" max="8040" width="36.85546875" style="151" customWidth="1"/>
    <col min="8041" max="8041" width="36.5703125" style="151" customWidth="1"/>
    <col min="8042" max="8044" width="36.85546875" style="151" customWidth="1"/>
    <col min="8045" max="8045" width="36.5703125" style="151" customWidth="1"/>
    <col min="8046" max="8053" width="36.85546875" style="151" customWidth="1"/>
    <col min="8054" max="8054" width="36.5703125" style="151" customWidth="1"/>
    <col min="8055" max="8192" width="36.85546875" style="151"/>
    <col min="8193" max="8193" width="18.5703125" style="151" customWidth="1"/>
    <col min="8194" max="8202" width="31.42578125" style="151" customWidth="1"/>
    <col min="8203" max="8219" width="36.85546875" style="151" customWidth="1"/>
    <col min="8220" max="8220" width="37" style="151" customWidth="1"/>
    <col min="8221" max="8236" width="36.85546875" style="151" customWidth="1"/>
    <col min="8237" max="8237" width="37.140625" style="151" customWidth="1"/>
    <col min="8238" max="8239" width="36.85546875" style="151" customWidth="1"/>
    <col min="8240" max="8240" width="36.5703125" style="151" customWidth="1"/>
    <col min="8241" max="8242" width="36.85546875" style="151" customWidth="1"/>
    <col min="8243" max="8243" width="36.5703125" style="151" customWidth="1"/>
    <col min="8244" max="8244" width="37" style="151" customWidth="1"/>
    <col min="8245" max="8263" width="36.85546875" style="151" customWidth="1"/>
    <col min="8264" max="8264" width="37" style="151" customWidth="1"/>
    <col min="8265" max="8282" width="36.85546875" style="151" customWidth="1"/>
    <col min="8283" max="8283" width="36.5703125" style="151" customWidth="1"/>
    <col min="8284" max="8296" width="36.85546875" style="151" customWidth="1"/>
    <col min="8297" max="8297" width="36.5703125" style="151" customWidth="1"/>
    <col min="8298" max="8300" width="36.85546875" style="151" customWidth="1"/>
    <col min="8301" max="8301" width="36.5703125" style="151" customWidth="1"/>
    <col min="8302" max="8309" width="36.85546875" style="151" customWidth="1"/>
    <col min="8310" max="8310" width="36.5703125" style="151" customWidth="1"/>
    <col min="8311" max="8448" width="36.85546875" style="151"/>
    <col min="8449" max="8449" width="18.5703125" style="151" customWidth="1"/>
    <col min="8450" max="8458" width="31.42578125" style="151" customWidth="1"/>
    <col min="8459" max="8475" width="36.85546875" style="151" customWidth="1"/>
    <col min="8476" max="8476" width="37" style="151" customWidth="1"/>
    <col min="8477" max="8492" width="36.85546875" style="151" customWidth="1"/>
    <col min="8493" max="8493" width="37.140625" style="151" customWidth="1"/>
    <col min="8494" max="8495" width="36.85546875" style="151" customWidth="1"/>
    <col min="8496" max="8496" width="36.5703125" style="151" customWidth="1"/>
    <col min="8497" max="8498" width="36.85546875" style="151" customWidth="1"/>
    <col min="8499" max="8499" width="36.5703125" style="151" customWidth="1"/>
    <col min="8500" max="8500" width="37" style="151" customWidth="1"/>
    <col min="8501" max="8519" width="36.85546875" style="151" customWidth="1"/>
    <col min="8520" max="8520" width="37" style="151" customWidth="1"/>
    <col min="8521" max="8538" width="36.85546875" style="151" customWidth="1"/>
    <col min="8539" max="8539" width="36.5703125" style="151" customWidth="1"/>
    <col min="8540" max="8552" width="36.85546875" style="151" customWidth="1"/>
    <col min="8553" max="8553" width="36.5703125" style="151" customWidth="1"/>
    <col min="8554" max="8556" width="36.85546875" style="151" customWidth="1"/>
    <col min="8557" max="8557" width="36.5703125" style="151" customWidth="1"/>
    <col min="8558" max="8565" width="36.85546875" style="151" customWidth="1"/>
    <col min="8566" max="8566" width="36.5703125" style="151" customWidth="1"/>
    <col min="8567" max="8704" width="36.85546875" style="151"/>
    <col min="8705" max="8705" width="18.5703125" style="151" customWidth="1"/>
    <col min="8706" max="8714" width="31.42578125" style="151" customWidth="1"/>
    <col min="8715" max="8731" width="36.85546875" style="151" customWidth="1"/>
    <col min="8732" max="8732" width="37" style="151" customWidth="1"/>
    <col min="8733" max="8748" width="36.85546875" style="151" customWidth="1"/>
    <col min="8749" max="8749" width="37.140625" style="151" customWidth="1"/>
    <col min="8750" max="8751" width="36.85546875" style="151" customWidth="1"/>
    <col min="8752" max="8752" width="36.5703125" style="151" customWidth="1"/>
    <col min="8753" max="8754" width="36.85546875" style="151" customWidth="1"/>
    <col min="8755" max="8755" width="36.5703125" style="151" customWidth="1"/>
    <col min="8756" max="8756" width="37" style="151" customWidth="1"/>
    <col min="8757" max="8775" width="36.85546875" style="151" customWidth="1"/>
    <col min="8776" max="8776" width="37" style="151" customWidth="1"/>
    <col min="8777" max="8794" width="36.85546875" style="151" customWidth="1"/>
    <col min="8795" max="8795" width="36.5703125" style="151" customWidth="1"/>
    <col min="8796" max="8808" width="36.85546875" style="151" customWidth="1"/>
    <col min="8809" max="8809" width="36.5703125" style="151" customWidth="1"/>
    <col min="8810" max="8812" width="36.85546875" style="151" customWidth="1"/>
    <col min="8813" max="8813" width="36.5703125" style="151" customWidth="1"/>
    <col min="8814" max="8821" width="36.85546875" style="151" customWidth="1"/>
    <col min="8822" max="8822" width="36.5703125" style="151" customWidth="1"/>
    <col min="8823" max="8960" width="36.85546875" style="151"/>
    <col min="8961" max="8961" width="18.5703125" style="151" customWidth="1"/>
    <col min="8962" max="8970" width="31.42578125" style="151" customWidth="1"/>
    <col min="8971" max="8987" width="36.85546875" style="151" customWidth="1"/>
    <col min="8988" max="8988" width="37" style="151" customWidth="1"/>
    <col min="8989" max="9004" width="36.85546875" style="151" customWidth="1"/>
    <col min="9005" max="9005" width="37.140625" style="151" customWidth="1"/>
    <col min="9006" max="9007" width="36.85546875" style="151" customWidth="1"/>
    <col min="9008" max="9008" width="36.5703125" style="151" customWidth="1"/>
    <col min="9009" max="9010" width="36.85546875" style="151" customWidth="1"/>
    <col min="9011" max="9011" width="36.5703125" style="151" customWidth="1"/>
    <col min="9012" max="9012" width="37" style="151" customWidth="1"/>
    <col min="9013" max="9031" width="36.85546875" style="151" customWidth="1"/>
    <col min="9032" max="9032" width="37" style="151" customWidth="1"/>
    <col min="9033" max="9050" width="36.85546875" style="151" customWidth="1"/>
    <col min="9051" max="9051" width="36.5703125" style="151" customWidth="1"/>
    <col min="9052" max="9064" width="36.85546875" style="151" customWidth="1"/>
    <col min="9065" max="9065" width="36.5703125" style="151" customWidth="1"/>
    <col min="9066" max="9068" width="36.85546875" style="151" customWidth="1"/>
    <col min="9069" max="9069" width="36.5703125" style="151" customWidth="1"/>
    <col min="9070" max="9077" width="36.85546875" style="151" customWidth="1"/>
    <col min="9078" max="9078" width="36.5703125" style="151" customWidth="1"/>
    <col min="9079" max="9216" width="36.85546875" style="151"/>
    <col min="9217" max="9217" width="18.5703125" style="151" customWidth="1"/>
    <col min="9218" max="9226" width="31.42578125" style="151" customWidth="1"/>
    <col min="9227" max="9243" width="36.85546875" style="151" customWidth="1"/>
    <col min="9244" max="9244" width="37" style="151" customWidth="1"/>
    <col min="9245" max="9260" width="36.85546875" style="151" customWidth="1"/>
    <col min="9261" max="9261" width="37.140625" style="151" customWidth="1"/>
    <col min="9262" max="9263" width="36.85546875" style="151" customWidth="1"/>
    <col min="9264" max="9264" width="36.5703125" style="151" customWidth="1"/>
    <col min="9265" max="9266" width="36.85546875" style="151" customWidth="1"/>
    <col min="9267" max="9267" width="36.5703125" style="151" customWidth="1"/>
    <col min="9268" max="9268" width="37" style="151" customWidth="1"/>
    <col min="9269" max="9287" width="36.85546875" style="151" customWidth="1"/>
    <col min="9288" max="9288" width="37" style="151" customWidth="1"/>
    <col min="9289" max="9306" width="36.85546875" style="151" customWidth="1"/>
    <col min="9307" max="9307" width="36.5703125" style="151" customWidth="1"/>
    <col min="9308" max="9320" width="36.85546875" style="151" customWidth="1"/>
    <col min="9321" max="9321" width="36.5703125" style="151" customWidth="1"/>
    <col min="9322" max="9324" width="36.85546875" style="151" customWidth="1"/>
    <col min="9325" max="9325" width="36.5703125" style="151" customWidth="1"/>
    <col min="9326" max="9333" width="36.85546875" style="151" customWidth="1"/>
    <col min="9334" max="9334" width="36.5703125" style="151" customWidth="1"/>
    <col min="9335" max="9472" width="36.85546875" style="151"/>
    <col min="9473" max="9473" width="18.5703125" style="151" customWidth="1"/>
    <col min="9474" max="9482" width="31.42578125" style="151" customWidth="1"/>
    <col min="9483" max="9499" width="36.85546875" style="151" customWidth="1"/>
    <col min="9500" max="9500" width="37" style="151" customWidth="1"/>
    <col min="9501" max="9516" width="36.85546875" style="151" customWidth="1"/>
    <col min="9517" max="9517" width="37.140625" style="151" customWidth="1"/>
    <col min="9518" max="9519" width="36.85546875" style="151" customWidth="1"/>
    <col min="9520" max="9520" width="36.5703125" style="151" customWidth="1"/>
    <col min="9521" max="9522" width="36.85546875" style="151" customWidth="1"/>
    <col min="9523" max="9523" width="36.5703125" style="151" customWidth="1"/>
    <col min="9524" max="9524" width="37" style="151" customWidth="1"/>
    <col min="9525" max="9543" width="36.85546875" style="151" customWidth="1"/>
    <col min="9544" max="9544" width="37" style="151" customWidth="1"/>
    <col min="9545" max="9562" width="36.85546875" style="151" customWidth="1"/>
    <col min="9563" max="9563" width="36.5703125" style="151" customWidth="1"/>
    <col min="9564" max="9576" width="36.85546875" style="151" customWidth="1"/>
    <col min="9577" max="9577" width="36.5703125" style="151" customWidth="1"/>
    <col min="9578" max="9580" width="36.85546875" style="151" customWidth="1"/>
    <col min="9581" max="9581" width="36.5703125" style="151" customWidth="1"/>
    <col min="9582" max="9589" width="36.85546875" style="151" customWidth="1"/>
    <col min="9590" max="9590" width="36.5703125" style="151" customWidth="1"/>
    <col min="9591" max="9728" width="36.85546875" style="151"/>
    <col min="9729" max="9729" width="18.5703125" style="151" customWidth="1"/>
    <col min="9730" max="9738" width="31.42578125" style="151" customWidth="1"/>
    <col min="9739" max="9755" width="36.85546875" style="151" customWidth="1"/>
    <col min="9756" max="9756" width="37" style="151" customWidth="1"/>
    <col min="9757" max="9772" width="36.85546875" style="151" customWidth="1"/>
    <col min="9773" max="9773" width="37.140625" style="151" customWidth="1"/>
    <col min="9774" max="9775" width="36.85546875" style="151" customWidth="1"/>
    <col min="9776" max="9776" width="36.5703125" style="151" customWidth="1"/>
    <col min="9777" max="9778" width="36.85546875" style="151" customWidth="1"/>
    <col min="9779" max="9779" width="36.5703125" style="151" customWidth="1"/>
    <col min="9780" max="9780" width="37" style="151" customWidth="1"/>
    <col min="9781" max="9799" width="36.85546875" style="151" customWidth="1"/>
    <col min="9800" max="9800" width="37" style="151" customWidth="1"/>
    <col min="9801" max="9818" width="36.85546875" style="151" customWidth="1"/>
    <col min="9819" max="9819" width="36.5703125" style="151" customWidth="1"/>
    <col min="9820" max="9832" width="36.85546875" style="151" customWidth="1"/>
    <col min="9833" max="9833" width="36.5703125" style="151" customWidth="1"/>
    <col min="9834" max="9836" width="36.85546875" style="151" customWidth="1"/>
    <col min="9837" max="9837" width="36.5703125" style="151" customWidth="1"/>
    <col min="9838" max="9845" width="36.85546875" style="151" customWidth="1"/>
    <col min="9846" max="9846" width="36.5703125" style="151" customWidth="1"/>
    <col min="9847" max="9984" width="36.85546875" style="151"/>
    <col min="9985" max="9985" width="18.5703125" style="151" customWidth="1"/>
    <col min="9986" max="9994" width="31.42578125" style="151" customWidth="1"/>
    <col min="9995" max="10011" width="36.85546875" style="151" customWidth="1"/>
    <col min="10012" max="10012" width="37" style="151" customWidth="1"/>
    <col min="10013" max="10028" width="36.85546875" style="151" customWidth="1"/>
    <col min="10029" max="10029" width="37.140625" style="151" customWidth="1"/>
    <col min="10030" max="10031" width="36.85546875" style="151" customWidth="1"/>
    <col min="10032" max="10032" width="36.5703125" style="151" customWidth="1"/>
    <col min="10033" max="10034" width="36.85546875" style="151" customWidth="1"/>
    <col min="10035" max="10035" width="36.5703125" style="151" customWidth="1"/>
    <col min="10036" max="10036" width="37" style="151" customWidth="1"/>
    <col min="10037" max="10055" width="36.85546875" style="151" customWidth="1"/>
    <col min="10056" max="10056" width="37" style="151" customWidth="1"/>
    <col min="10057" max="10074" width="36.85546875" style="151" customWidth="1"/>
    <col min="10075" max="10075" width="36.5703125" style="151" customWidth="1"/>
    <col min="10076" max="10088" width="36.85546875" style="151" customWidth="1"/>
    <col min="10089" max="10089" width="36.5703125" style="151" customWidth="1"/>
    <col min="10090" max="10092" width="36.85546875" style="151" customWidth="1"/>
    <col min="10093" max="10093" width="36.5703125" style="151" customWidth="1"/>
    <col min="10094" max="10101" width="36.85546875" style="151" customWidth="1"/>
    <col min="10102" max="10102" width="36.5703125" style="151" customWidth="1"/>
    <col min="10103" max="10240" width="36.85546875" style="151"/>
    <col min="10241" max="10241" width="18.5703125" style="151" customWidth="1"/>
    <col min="10242" max="10250" width="31.42578125" style="151" customWidth="1"/>
    <col min="10251" max="10267" width="36.85546875" style="151" customWidth="1"/>
    <col min="10268" max="10268" width="37" style="151" customWidth="1"/>
    <col min="10269" max="10284" width="36.85546875" style="151" customWidth="1"/>
    <col min="10285" max="10285" width="37.140625" style="151" customWidth="1"/>
    <col min="10286" max="10287" width="36.85546875" style="151" customWidth="1"/>
    <col min="10288" max="10288" width="36.5703125" style="151" customWidth="1"/>
    <col min="10289" max="10290" width="36.85546875" style="151" customWidth="1"/>
    <col min="10291" max="10291" width="36.5703125" style="151" customWidth="1"/>
    <col min="10292" max="10292" width="37" style="151" customWidth="1"/>
    <col min="10293" max="10311" width="36.85546875" style="151" customWidth="1"/>
    <col min="10312" max="10312" width="37" style="151" customWidth="1"/>
    <col min="10313" max="10330" width="36.85546875" style="151" customWidth="1"/>
    <col min="10331" max="10331" width="36.5703125" style="151" customWidth="1"/>
    <col min="10332" max="10344" width="36.85546875" style="151" customWidth="1"/>
    <col min="10345" max="10345" width="36.5703125" style="151" customWidth="1"/>
    <col min="10346" max="10348" width="36.85546875" style="151" customWidth="1"/>
    <col min="10349" max="10349" width="36.5703125" style="151" customWidth="1"/>
    <col min="10350" max="10357" width="36.85546875" style="151" customWidth="1"/>
    <col min="10358" max="10358" width="36.5703125" style="151" customWidth="1"/>
    <col min="10359" max="10496" width="36.85546875" style="151"/>
    <col min="10497" max="10497" width="18.5703125" style="151" customWidth="1"/>
    <col min="10498" max="10506" width="31.42578125" style="151" customWidth="1"/>
    <col min="10507" max="10523" width="36.85546875" style="151" customWidth="1"/>
    <col min="10524" max="10524" width="37" style="151" customWidth="1"/>
    <col min="10525" max="10540" width="36.85546875" style="151" customWidth="1"/>
    <col min="10541" max="10541" width="37.140625" style="151" customWidth="1"/>
    <col min="10542" max="10543" width="36.85546875" style="151" customWidth="1"/>
    <col min="10544" max="10544" width="36.5703125" style="151" customWidth="1"/>
    <col min="10545" max="10546" width="36.85546875" style="151" customWidth="1"/>
    <col min="10547" max="10547" width="36.5703125" style="151" customWidth="1"/>
    <col min="10548" max="10548" width="37" style="151" customWidth="1"/>
    <col min="10549" max="10567" width="36.85546875" style="151" customWidth="1"/>
    <col min="10568" max="10568" width="37" style="151" customWidth="1"/>
    <col min="10569" max="10586" width="36.85546875" style="151" customWidth="1"/>
    <col min="10587" max="10587" width="36.5703125" style="151" customWidth="1"/>
    <col min="10588" max="10600" width="36.85546875" style="151" customWidth="1"/>
    <col min="10601" max="10601" width="36.5703125" style="151" customWidth="1"/>
    <col min="10602" max="10604" width="36.85546875" style="151" customWidth="1"/>
    <col min="10605" max="10605" width="36.5703125" style="151" customWidth="1"/>
    <col min="10606" max="10613" width="36.85546875" style="151" customWidth="1"/>
    <col min="10614" max="10614" width="36.5703125" style="151" customWidth="1"/>
    <col min="10615" max="10752" width="36.85546875" style="151"/>
    <col min="10753" max="10753" width="18.5703125" style="151" customWidth="1"/>
    <col min="10754" max="10762" width="31.42578125" style="151" customWidth="1"/>
    <col min="10763" max="10779" width="36.85546875" style="151" customWidth="1"/>
    <col min="10780" max="10780" width="37" style="151" customWidth="1"/>
    <col min="10781" max="10796" width="36.85546875" style="151" customWidth="1"/>
    <col min="10797" max="10797" width="37.140625" style="151" customWidth="1"/>
    <col min="10798" max="10799" width="36.85546875" style="151" customWidth="1"/>
    <col min="10800" max="10800" width="36.5703125" style="151" customWidth="1"/>
    <col min="10801" max="10802" width="36.85546875" style="151" customWidth="1"/>
    <col min="10803" max="10803" width="36.5703125" style="151" customWidth="1"/>
    <col min="10804" max="10804" width="37" style="151" customWidth="1"/>
    <col min="10805" max="10823" width="36.85546875" style="151" customWidth="1"/>
    <col min="10824" max="10824" width="37" style="151" customWidth="1"/>
    <col min="10825" max="10842" width="36.85546875" style="151" customWidth="1"/>
    <col min="10843" max="10843" width="36.5703125" style="151" customWidth="1"/>
    <col min="10844" max="10856" width="36.85546875" style="151" customWidth="1"/>
    <col min="10857" max="10857" width="36.5703125" style="151" customWidth="1"/>
    <col min="10858" max="10860" width="36.85546875" style="151" customWidth="1"/>
    <col min="10861" max="10861" width="36.5703125" style="151" customWidth="1"/>
    <col min="10862" max="10869" width="36.85546875" style="151" customWidth="1"/>
    <col min="10870" max="10870" width="36.5703125" style="151" customWidth="1"/>
    <col min="10871" max="11008" width="36.85546875" style="151"/>
    <col min="11009" max="11009" width="18.5703125" style="151" customWidth="1"/>
    <col min="11010" max="11018" width="31.42578125" style="151" customWidth="1"/>
    <col min="11019" max="11035" width="36.85546875" style="151" customWidth="1"/>
    <col min="11036" max="11036" width="37" style="151" customWidth="1"/>
    <col min="11037" max="11052" width="36.85546875" style="151" customWidth="1"/>
    <col min="11053" max="11053" width="37.140625" style="151" customWidth="1"/>
    <col min="11054" max="11055" width="36.85546875" style="151" customWidth="1"/>
    <col min="11056" max="11056" width="36.5703125" style="151" customWidth="1"/>
    <col min="11057" max="11058" width="36.85546875" style="151" customWidth="1"/>
    <col min="11059" max="11059" width="36.5703125" style="151" customWidth="1"/>
    <col min="11060" max="11060" width="37" style="151" customWidth="1"/>
    <col min="11061" max="11079" width="36.85546875" style="151" customWidth="1"/>
    <col min="11080" max="11080" width="37" style="151" customWidth="1"/>
    <col min="11081" max="11098" width="36.85546875" style="151" customWidth="1"/>
    <col min="11099" max="11099" width="36.5703125" style="151" customWidth="1"/>
    <col min="11100" max="11112" width="36.85546875" style="151" customWidth="1"/>
    <col min="11113" max="11113" width="36.5703125" style="151" customWidth="1"/>
    <col min="11114" max="11116" width="36.85546875" style="151" customWidth="1"/>
    <col min="11117" max="11117" width="36.5703125" style="151" customWidth="1"/>
    <col min="11118" max="11125" width="36.85546875" style="151" customWidth="1"/>
    <col min="11126" max="11126" width="36.5703125" style="151" customWidth="1"/>
    <col min="11127" max="11264" width="36.85546875" style="151"/>
    <col min="11265" max="11265" width="18.5703125" style="151" customWidth="1"/>
    <col min="11266" max="11274" width="31.42578125" style="151" customWidth="1"/>
    <col min="11275" max="11291" width="36.85546875" style="151" customWidth="1"/>
    <col min="11292" max="11292" width="37" style="151" customWidth="1"/>
    <col min="11293" max="11308" width="36.85546875" style="151" customWidth="1"/>
    <col min="11309" max="11309" width="37.140625" style="151" customWidth="1"/>
    <col min="11310" max="11311" width="36.85546875" style="151" customWidth="1"/>
    <col min="11312" max="11312" width="36.5703125" style="151" customWidth="1"/>
    <col min="11313" max="11314" width="36.85546875" style="151" customWidth="1"/>
    <col min="11315" max="11315" width="36.5703125" style="151" customWidth="1"/>
    <col min="11316" max="11316" width="37" style="151" customWidth="1"/>
    <col min="11317" max="11335" width="36.85546875" style="151" customWidth="1"/>
    <col min="11336" max="11336" width="37" style="151" customWidth="1"/>
    <col min="11337" max="11354" width="36.85546875" style="151" customWidth="1"/>
    <col min="11355" max="11355" width="36.5703125" style="151" customWidth="1"/>
    <col min="11356" max="11368" width="36.85546875" style="151" customWidth="1"/>
    <col min="11369" max="11369" width="36.5703125" style="151" customWidth="1"/>
    <col min="11370" max="11372" width="36.85546875" style="151" customWidth="1"/>
    <col min="11373" max="11373" width="36.5703125" style="151" customWidth="1"/>
    <col min="11374" max="11381" width="36.85546875" style="151" customWidth="1"/>
    <col min="11382" max="11382" width="36.5703125" style="151" customWidth="1"/>
    <col min="11383" max="11520" width="36.85546875" style="151"/>
    <col min="11521" max="11521" width="18.5703125" style="151" customWidth="1"/>
    <col min="11522" max="11530" width="31.42578125" style="151" customWidth="1"/>
    <col min="11531" max="11547" width="36.85546875" style="151" customWidth="1"/>
    <col min="11548" max="11548" width="37" style="151" customWidth="1"/>
    <col min="11549" max="11564" width="36.85546875" style="151" customWidth="1"/>
    <col min="11565" max="11565" width="37.140625" style="151" customWidth="1"/>
    <col min="11566" max="11567" width="36.85546875" style="151" customWidth="1"/>
    <col min="11568" max="11568" width="36.5703125" style="151" customWidth="1"/>
    <col min="11569" max="11570" width="36.85546875" style="151" customWidth="1"/>
    <col min="11571" max="11571" width="36.5703125" style="151" customWidth="1"/>
    <col min="11572" max="11572" width="37" style="151" customWidth="1"/>
    <col min="11573" max="11591" width="36.85546875" style="151" customWidth="1"/>
    <col min="11592" max="11592" width="37" style="151" customWidth="1"/>
    <col min="11593" max="11610" width="36.85546875" style="151" customWidth="1"/>
    <col min="11611" max="11611" width="36.5703125" style="151" customWidth="1"/>
    <col min="11612" max="11624" width="36.85546875" style="151" customWidth="1"/>
    <col min="11625" max="11625" width="36.5703125" style="151" customWidth="1"/>
    <col min="11626" max="11628" width="36.85546875" style="151" customWidth="1"/>
    <col min="11629" max="11629" width="36.5703125" style="151" customWidth="1"/>
    <col min="11630" max="11637" width="36.85546875" style="151" customWidth="1"/>
    <col min="11638" max="11638" width="36.5703125" style="151" customWidth="1"/>
    <col min="11639" max="11776" width="36.85546875" style="151"/>
    <col min="11777" max="11777" width="18.5703125" style="151" customWidth="1"/>
    <col min="11778" max="11786" width="31.42578125" style="151" customWidth="1"/>
    <col min="11787" max="11803" width="36.85546875" style="151" customWidth="1"/>
    <col min="11804" max="11804" width="37" style="151" customWidth="1"/>
    <col min="11805" max="11820" width="36.85546875" style="151" customWidth="1"/>
    <col min="11821" max="11821" width="37.140625" style="151" customWidth="1"/>
    <col min="11822" max="11823" width="36.85546875" style="151" customWidth="1"/>
    <col min="11824" max="11824" width="36.5703125" style="151" customWidth="1"/>
    <col min="11825" max="11826" width="36.85546875" style="151" customWidth="1"/>
    <col min="11827" max="11827" width="36.5703125" style="151" customWidth="1"/>
    <col min="11828" max="11828" width="37" style="151" customWidth="1"/>
    <col min="11829" max="11847" width="36.85546875" style="151" customWidth="1"/>
    <col min="11848" max="11848" width="37" style="151" customWidth="1"/>
    <col min="11849" max="11866" width="36.85546875" style="151" customWidth="1"/>
    <col min="11867" max="11867" width="36.5703125" style="151" customWidth="1"/>
    <col min="11868" max="11880" width="36.85546875" style="151" customWidth="1"/>
    <col min="11881" max="11881" width="36.5703125" style="151" customWidth="1"/>
    <col min="11882" max="11884" width="36.85546875" style="151" customWidth="1"/>
    <col min="11885" max="11885" width="36.5703125" style="151" customWidth="1"/>
    <col min="11886" max="11893" width="36.85546875" style="151" customWidth="1"/>
    <col min="11894" max="11894" width="36.5703125" style="151" customWidth="1"/>
    <col min="11895" max="12032" width="36.85546875" style="151"/>
    <col min="12033" max="12033" width="18.5703125" style="151" customWidth="1"/>
    <col min="12034" max="12042" width="31.42578125" style="151" customWidth="1"/>
    <col min="12043" max="12059" width="36.85546875" style="151" customWidth="1"/>
    <col min="12060" max="12060" width="37" style="151" customWidth="1"/>
    <col min="12061" max="12076" width="36.85546875" style="151" customWidth="1"/>
    <col min="12077" max="12077" width="37.140625" style="151" customWidth="1"/>
    <col min="12078" max="12079" width="36.85546875" style="151" customWidth="1"/>
    <col min="12080" max="12080" width="36.5703125" style="151" customWidth="1"/>
    <col min="12081" max="12082" width="36.85546875" style="151" customWidth="1"/>
    <col min="12083" max="12083" width="36.5703125" style="151" customWidth="1"/>
    <col min="12084" max="12084" width="37" style="151" customWidth="1"/>
    <col min="12085" max="12103" width="36.85546875" style="151" customWidth="1"/>
    <col min="12104" max="12104" width="37" style="151" customWidth="1"/>
    <col min="12105" max="12122" width="36.85546875" style="151" customWidth="1"/>
    <col min="12123" max="12123" width="36.5703125" style="151" customWidth="1"/>
    <col min="12124" max="12136" width="36.85546875" style="151" customWidth="1"/>
    <col min="12137" max="12137" width="36.5703125" style="151" customWidth="1"/>
    <col min="12138" max="12140" width="36.85546875" style="151" customWidth="1"/>
    <col min="12141" max="12141" width="36.5703125" style="151" customWidth="1"/>
    <col min="12142" max="12149" width="36.85546875" style="151" customWidth="1"/>
    <col min="12150" max="12150" width="36.5703125" style="151" customWidth="1"/>
    <col min="12151" max="12288" width="36.85546875" style="151"/>
    <col min="12289" max="12289" width="18.5703125" style="151" customWidth="1"/>
    <col min="12290" max="12298" width="31.42578125" style="151" customWidth="1"/>
    <col min="12299" max="12315" width="36.85546875" style="151" customWidth="1"/>
    <col min="12316" max="12316" width="37" style="151" customWidth="1"/>
    <col min="12317" max="12332" width="36.85546875" style="151" customWidth="1"/>
    <col min="12333" max="12333" width="37.140625" style="151" customWidth="1"/>
    <col min="12334" max="12335" width="36.85546875" style="151" customWidth="1"/>
    <col min="12336" max="12336" width="36.5703125" style="151" customWidth="1"/>
    <col min="12337" max="12338" width="36.85546875" style="151" customWidth="1"/>
    <col min="12339" max="12339" width="36.5703125" style="151" customWidth="1"/>
    <col min="12340" max="12340" width="37" style="151" customWidth="1"/>
    <col min="12341" max="12359" width="36.85546875" style="151" customWidth="1"/>
    <col min="12360" max="12360" width="37" style="151" customWidth="1"/>
    <col min="12361" max="12378" width="36.85546875" style="151" customWidth="1"/>
    <col min="12379" max="12379" width="36.5703125" style="151" customWidth="1"/>
    <col min="12380" max="12392" width="36.85546875" style="151" customWidth="1"/>
    <col min="12393" max="12393" width="36.5703125" style="151" customWidth="1"/>
    <col min="12394" max="12396" width="36.85546875" style="151" customWidth="1"/>
    <col min="12397" max="12397" width="36.5703125" style="151" customWidth="1"/>
    <col min="12398" max="12405" width="36.85546875" style="151" customWidth="1"/>
    <col min="12406" max="12406" width="36.5703125" style="151" customWidth="1"/>
    <col min="12407" max="12544" width="36.85546875" style="151"/>
    <col min="12545" max="12545" width="18.5703125" style="151" customWidth="1"/>
    <col min="12546" max="12554" width="31.42578125" style="151" customWidth="1"/>
    <col min="12555" max="12571" width="36.85546875" style="151" customWidth="1"/>
    <col min="12572" max="12572" width="37" style="151" customWidth="1"/>
    <col min="12573" max="12588" width="36.85546875" style="151" customWidth="1"/>
    <col min="12589" max="12589" width="37.140625" style="151" customWidth="1"/>
    <col min="12590" max="12591" width="36.85546875" style="151" customWidth="1"/>
    <col min="12592" max="12592" width="36.5703125" style="151" customWidth="1"/>
    <col min="12593" max="12594" width="36.85546875" style="151" customWidth="1"/>
    <col min="12595" max="12595" width="36.5703125" style="151" customWidth="1"/>
    <col min="12596" max="12596" width="37" style="151" customWidth="1"/>
    <col min="12597" max="12615" width="36.85546875" style="151" customWidth="1"/>
    <col min="12616" max="12616" width="37" style="151" customWidth="1"/>
    <col min="12617" max="12634" width="36.85546875" style="151" customWidth="1"/>
    <col min="12635" max="12635" width="36.5703125" style="151" customWidth="1"/>
    <col min="12636" max="12648" width="36.85546875" style="151" customWidth="1"/>
    <col min="12649" max="12649" width="36.5703125" style="151" customWidth="1"/>
    <col min="12650" max="12652" width="36.85546875" style="151" customWidth="1"/>
    <col min="12653" max="12653" width="36.5703125" style="151" customWidth="1"/>
    <col min="12654" max="12661" width="36.85546875" style="151" customWidth="1"/>
    <col min="12662" max="12662" width="36.5703125" style="151" customWidth="1"/>
    <col min="12663" max="12800" width="36.85546875" style="151"/>
    <col min="12801" max="12801" width="18.5703125" style="151" customWidth="1"/>
    <col min="12802" max="12810" width="31.42578125" style="151" customWidth="1"/>
    <col min="12811" max="12827" width="36.85546875" style="151" customWidth="1"/>
    <col min="12828" max="12828" width="37" style="151" customWidth="1"/>
    <col min="12829" max="12844" width="36.85546875" style="151" customWidth="1"/>
    <col min="12845" max="12845" width="37.140625" style="151" customWidth="1"/>
    <col min="12846" max="12847" width="36.85546875" style="151" customWidth="1"/>
    <col min="12848" max="12848" width="36.5703125" style="151" customWidth="1"/>
    <col min="12849" max="12850" width="36.85546875" style="151" customWidth="1"/>
    <col min="12851" max="12851" width="36.5703125" style="151" customWidth="1"/>
    <col min="12852" max="12852" width="37" style="151" customWidth="1"/>
    <col min="12853" max="12871" width="36.85546875" style="151" customWidth="1"/>
    <col min="12872" max="12872" width="37" style="151" customWidth="1"/>
    <col min="12873" max="12890" width="36.85546875" style="151" customWidth="1"/>
    <col min="12891" max="12891" width="36.5703125" style="151" customWidth="1"/>
    <col min="12892" max="12904" width="36.85546875" style="151" customWidth="1"/>
    <col min="12905" max="12905" width="36.5703125" style="151" customWidth="1"/>
    <col min="12906" max="12908" width="36.85546875" style="151" customWidth="1"/>
    <col min="12909" max="12909" width="36.5703125" style="151" customWidth="1"/>
    <col min="12910" max="12917" width="36.85546875" style="151" customWidth="1"/>
    <col min="12918" max="12918" width="36.5703125" style="151" customWidth="1"/>
    <col min="12919" max="13056" width="36.85546875" style="151"/>
    <col min="13057" max="13057" width="18.5703125" style="151" customWidth="1"/>
    <col min="13058" max="13066" width="31.42578125" style="151" customWidth="1"/>
    <col min="13067" max="13083" width="36.85546875" style="151" customWidth="1"/>
    <col min="13084" max="13084" width="37" style="151" customWidth="1"/>
    <col min="13085" max="13100" width="36.85546875" style="151" customWidth="1"/>
    <col min="13101" max="13101" width="37.140625" style="151" customWidth="1"/>
    <col min="13102" max="13103" width="36.85546875" style="151" customWidth="1"/>
    <col min="13104" max="13104" width="36.5703125" style="151" customWidth="1"/>
    <col min="13105" max="13106" width="36.85546875" style="151" customWidth="1"/>
    <col min="13107" max="13107" width="36.5703125" style="151" customWidth="1"/>
    <col min="13108" max="13108" width="37" style="151" customWidth="1"/>
    <col min="13109" max="13127" width="36.85546875" style="151" customWidth="1"/>
    <col min="13128" max="13128" width="37" style="151" customWidth="1"/>
    <col min="13129" max="13146" width="36.85546875" style="151" customWidth="1"/>
    <col min="13147" max="13147" width="36.5703125" style="151" customWidth="1"/>
    <col min="13148" max="13160" width="36.85546875" style="151" customWidth="1"/>
    <col min="13161" max="13161" width="36.5703125" style="151" customWidth="1"/>
    <col min="13162" max="13164" width="36.85546875" style="151" customWidth="1"/>
    <col min="13165" max="13165" width="36.5703125" style="151" customWidth="1"/>
    <col min="13166" max="13173" width="36.85546875" style="151" customWidth="1"/>
    <col min="13174" max="13174" width="36.5703125" style="151" customWidth="1"/>
    <col min="13175" max="13312" width="36.85546875" style="151"/>
    <col min="13313" max="13313" width="18.5703125" style="151" customWidth="1"/>
    <col min="13314" max="13322" width="31.42578125" style="151" customWidth="1"/>
    <col min="13323" max="13339" width="36.85546875" style="151" customWidth="1"/>
    <col min="13340" max="13340" width="37" style="151" customWidth="1"/>
    <col min="13341" max="13356" width="36.85546875" style="151" customWidth="1"/>
    <col min="13357" max="13357" width="37.140625" style="151" customWidth="1"/>
    <col min="13358" max="13359" width="36.85546875" style="151" customWidth="1"/>
    <col min="13360" max="13360" width="36.5703125" style="151" customWidth="1"/>
    <col min="13361" max="13362" width="36.85546875" style="151" customWidth="1"/>
    <col min="13363" max="13363" width="36.5703125" style="151" customWidth="1"/>
    <col min="13364" max="13364" width="37" style="151" customWidth="1"/>
    <col min="13365" max="13383" width="36.85546875" style="151" customWidth="1"/>
    <col min="13384" max="13384" width="37" style="151" customWidth="1"/>
    <col min="13385" max="13402" width="36.85546875" style="151" customWidth="1"/>
    <col min="13403" max="13403" width="36.5703125" style="151" customWidth="1"/>
    <col min="13404" max="13416" width="36.85546875" style="151" customWidth="1"/>
    <col min="13417" max="13417" width="36.5703125" style="151" customWidth="1"/>
    <col min="13418" max="13420" width="36.85546875" style="151" customWidth="1"/>
    <col min="13421" max="13421" width="36.5703125" style="151" customWidth="1"/>
    <col min="13422" max="13429" width="36.85546875" style="151" customWidth="1"/>
    <col min="13430" max="13430" width="36.5703125" style="151" customWidth="1"/>
    <col min="13431" max="13568" width="36.85546875" style="151"/>
    <col min="13569" max="13569" width="18.5703125" style="151" customWidth="1"/>
    <col min="13570" max="13578" width="31.42578125" style="151" customWidth="1"/>
    <col min="13579" max="13595" width="36.85546875" style="151" customWidth="1"/>
    <col min="13596" max="13596" width="37" style="151" customWidth="1"/>
    <col min="13597" max="13612" width="36.85546875" style="151" customWidth="1"/>
    <col min="13613" max="13613" width="37.140625" style="151" customWidth="1"/>
    <col min="13614" max="13615" width="36.85546875" style="151" customWidth="1"/>
    <col min="13616" max="13616" width="36.5703125" style="151" customWidth="1"/>
    <col min="13617" max="13618" width="36.85546875" style="151" customWidth="1"/>
    <col min="13619" max="13619" width="36.5703125" style="151" customWidth="1"/>
    <col min="13620" max="13620" width="37" style="151" customWidth="1"/>
    <col min="13621" max="13639" width="36.85546875" style="151" customWidth="1"/>
    <col min="13640" max="13640" width="37" style="151" customWidth="1"/>
    <col min="13641" max="13658" width="36.85546875" style="151" customWidth="1"/>
    <col min="13659" max="13659" width="36.5703125" style="151" customWidth="1"/>
    <col min="13660" max="13672" width="36.85546875" style="151" customWidth="1"/>
    <col min="13673" max="13673" width="36.5703125" style="151" customWidth="1"/>
    <col min="13674" max="13676" width="36.85546875" style="151" customWidth="1"/>
    <col min="13677" max="13677" width="36.5703125" style="151" customWidth="1"/>
    <col min="13678" max="13685" width="36.85546875" style="151" customWidth="1"/>
    <col min="13686" max="13686" width="36.5703125" style="151" customWidth="1"/>
    <col min="13687" max="13824" width="36.85546875" style="151"/>
    <col min="13825" max="13825" width="18.5703125" style="151" customWidth="1"/>
    <col min="13826" max="13834" width="31.42578125" style="151" customWidth="1"/>
    <col min="13835" max="13851" width="36.85546875" style="151" customWidth="1"/>
    <col min="13852" max="13852" width="37" style="151" customWidth="1"/>
    <col min="13853" max="13868" width="36.85546875" style="151" customWidth="1"/>
    <col min="13869" max="13869" width="37.140625" style="151" customWidth="1"/>
    <col min="13870" max="13871" width="36.85546875" style="151" customWidth="1"/>
    <col min="13872" max="13872" width="36.5703125" style="151" customWidth="1"/>
    <col min="13873" max="13874" width="36.85546875" style="151" customWidth="1"/>
    <col min="13875" max="13875" width="36.5703125" style="151" customWidth="1"/>
    <col min="13876" max="13876" width="37" style="151" customWidth="1"/>
    <col min="13877" max="13895" width="36.85546875" style="151" customWidth="1"/>
    <col min="13896" max="13896" width="37" style="151" customWidth="1"/>
    <col min="13897" max="13914" width="36.85546875" style="151" customWidth="1"/>
    <col min="13915" max="13915" width="36.5703125" style="151" customWidth="1"/>
    <col min="13916" max="13928" width="36.85546875" style="151" customWidth="1"/>
    <col min="13929" max="13929" width="36.5703125" style="151" customWidth="1"/>
    <col min="13930" max="13932" width="36.85546875" style="151" customWidth="1"/>
    <col min="13933" max="13933" width="36.5703125" style="151" customWidth="1"/>
    <col min="13934" max="13941" width="36.85546875" style="151" customWidth="1"/>
    <col min="13942" max="13942" width="36.5703125" style="151" customWidth="1"/>
    <col min="13943" max="14080" width="36.85546875" style="151"/>
    <col min="14081" max="14081" width="18.5703125" style="151" customWidth="1"/>
    <col min="14082" max="14090" width="31.42578125" style="151" customWidth="1"/>
    <col min="14091" max="14107" width="36.85546875" style="151" customWidth="1"/>
    <col min="14108" max="14108" width="37" style="151" customWidth="1"/>
    <col min="14109" max="14124" width="36.85546875" style="151" customWidth="1"/>
    <col min="14125" max="14125" width="37.140625" style="151" customWidth="1"/>
    <col min="14126" max="14127" width="36.85546875" style="151" customWidth="1"/>
    <col min="14128" max="14128" width="36.5703125" style="151" customWidth="1"/>
    <col min="14129" max="14130" width="36.85546875" style="151" customWidth="1"/>
    <col min="14131" max="14131" width="36.5703125" style="151" customWidth="1"/>
    <col min="14132" max="14132" width="37" style="151" customWidth="1"/>
    <col min="14133" max="14151" width="36.85546875" style="151" customWidth="1"/>
    <col min="14152" max="14152" width="37" style="151" customWidth="1"/>
    <col min="14153" max="14170" width="36.85546875" style="151" customWidth="1"/>
    <col min="14171" max="14171" width="36.5703125" style="151" customWidth="1"/>
    <col min="14172" max="14184" width="36.85546875" style="151" customWidth="1"/>
    <col min="14185" max="14185" width="36.5703125" style="151" customWidth="1"/>
    <col min="14186" max="14188" width="36.85546875" style="151" customWidth="1"/>
    <col min="14189" max="14189" width="36.5703125" style="151" customWidth="1"/>
    <col min="14190" max="14197" width="36.85546875" style="151" customWidth="1"/>
    <col min="14198" max="14198" width="36.5703125" style="151" customWidth="1"/>
    <col min="14199" max="14336" width="36.85546875" style="151"/>
    <col min="14337" max="14337" width="18.5703125" style="151" customWidth="1"/>
    <col min="14338" max="14346" width="31.42578125" style="151" customWidth="1"/>
    <col min="14347" max="14363" width="36.85546875" style="151" customWidth="1"/>
    <col min="14364" max="14364" width="37" style="151" customWidth="1"/>
    <col min="14365" max="14380" width="36.85546875" style="151" customWidth="1"/>
    <col min="14381" max="14381" width="37.140625" style="151" customWidth="1"/>
    <col min="14382" max="14383" width="36.85546875" style="151" customWidth="1"/>
    <col min="14384" max="14384" width="36.5703125" style="151" customWidth="1"/>
    <col min="14385" max="14386" width="36.85546875" style="151" customWidth="1"/>
    <col min="14387" max="14387" width="36.5703125" style="151" customWidth="1"/>
    <col min="14388" max="14388" width="37" style="151" customWidth="1"/>
    <col min="14389" max="14407" width="36.85546875" style="151" customWidth="1"/>
    <col min="14408" max="14408" width="37" style="151" customWidth="1"/>
    <col min="14409" max="14426" width="36.85546875" style="151" customWidth="1"/>
    <col min="14427" max="14427" width="36.5703125" style="151" customWidth="1"/>
    <col min="14428" max="14440" width="36.85546875" style="151" customWidth="1"/>
    <col min="14441" max="14441" width="36.5703125" style="151" customWidth="1"/>
    <col min="14442" max="14444" width="36.85546875" style="151" customWidth="1"/>
    <col min="14445" max="14445" width="36.5703125" style="151" customWidth="1"/>
    <col min="14446" max="14453" width="36.85546875" style="151" customWidth="1"/>
    <col min="14454" max="14454" width="36.5703125" style="151" customWidth="1"/>
    <col min="14455" max="14592" width="36.85546875" style="151"/>
    <col min="14593" max="14593" width="18.5703125" style="151" customWidth="1"/>
    <col min="14594" max="14602" width="31.42578125" style="151" customWidth="1"/>
    <col min="14603" max="14619" width="36.85546875" style="151" customWidth="1"/>
    <col min="14620" max="14620" width="37" style="151" customWidth="1"/>
    <col min="14621" max="14636" width="36.85546875" style="151" customWidth="1"/>
    <col min="14637" max="14637" width="37.140625" style="151" customWidth="1"/>
    <col min="14638" max="14639" width="36.85546875" style="151" customWidth="1"/>
    <col min="14640" max="14640" width="36.5703125" style="151" customWidth="1"/>
    <col min="14641" max="14642" width="36.85546875" style="151" customWidth="1"/>
    <col min="14643" max="14643" width="36.5703125" style="151" customWidth="1"/>
    <col min="14644" max="14644" width="37" style="151" customWidth="1"/>
    <col min="14645" max="14663" width="36.85546875" style="151" customWidth="1"/>
    <col min="14664" max="14664" width="37" style="151" customWidth="1"/>
    <col min="14665" max="14682" width="36.85546875" style="151" customWidth="1"/>
    <col min="14683" max="14683" width="36.5703125" style="151" customWidth="1"/>
    <col min="14684" max="14696" width="36.85546875" style="151" customWidth="1"/>
    <col min="14697" max="14697" width="36.5703125" style="151" customWidth="1"/>
    <col min="14698" max="14700" width="36.85546875" style="151" customWidth="1"/>
    <col min="14701" max="14701" width="36.5703125" style="151" customWidth="1"/>
    <col min="14702" max="14709" width="36.85546875" style="151" customWidth="1"/>
    <col min="14710" max="14710" width="36.5703125" style="151" customWidth="1"/>
    <col min="14711" max="14848" width="36.85546875" style="151"/>
    <col min="14849" max="14849" width="18.5703125" style="151" customWidth="1"/>
    <col min="14850" max="14858" width="31.42578125" style="151" customWidth="1"/>
    <col min="14859" max="14875" width="36.85546875" style="151" customWidth="1"/>
    <col min="14876" max="14876" width="37" style="151" customWidth="1"/>
    <col min="14877" max="14892" width="36.85546875" style="151" customWidth="1"/>
    <col min="14893" max="14893" width="37.140625" style="151" customWidth="1"/>
    <col min="14894" max="14895" width="36.85546875" style="151" customWidth="1"/>
    <col min="14896" max="14896" width="36.5703125" style="151" customWidth="1"/>
    <col min="14897" max="14898" width="36.85546875" style="151" customWidth="1"/>
    <col min="14899" max="14899" width="36.5703125" style="151" customWidth="1"/>
    <col min="14900" max="14900" width="37" style="151" customWidth="1"/>
    <col min="14901" max="14919" width="36.85546875" style="151" customWidth="1"/>
    <col min="14920" max="14920" width="37" style="151" customWidth="1"/>
    <col min="14921" max="14938" width="36.85546875" style="151" customWidth="1"/>
    <col min="14939" max="14939" width="36.5703125" style="151" customWidth="1"/>
    <col min="14940" max="14952" width="36.85546875" style="151" customWidth="1"/>
    <col min="14953" max="14953" width="36.5703125" style="151" customWidth="1"/>
    <col min="14954" max="14956" width="36.85546875" style="151" customWidth="1"/>
    <col min="14957" max="14957" width="36.5703125" style="151" customWidth="1"/>
    <col min="14958" max="14965" width="36.85546875" style="151" customWidth="1"/>
    <col min="14966" max="14966" width="36.5703125" style="151" customWidth="1"/>
    <col min="14967" max="15104" width="36.85546875" style="151"/>
    <col min="15105" max="15105" width="18.5703125" style="151" customWidth="1"/>
    <col min="15106" max="15114" width="31.42578125" style="151" customWidth="1"/>
    <col min="15115" max="15131" width="36.85546875" style="151" customWidth="1"/>
    <col min="15132" max="15132" width="37" style="151" customWidth="1"/>
    <col min="15133" max="15148" width="36.85546875" style="151" customWidth="1"/>
    <col min="15149" max="15149" width="37.140625" style="151" customWidth="1"/>
    <col min="15150" max="15151" width="36.85546875" style="151" customWidth="1"/>
    <col min="15152" max="15152" width="36.5703125" style="151" customWidth="1"/>
    <col min="15153" max="15154" width="36.85546875" style="151" customWidth="1"/>
    <col min="15155" max="15155" width="36.5703125" style="151" customWidth="1"/>
    <col min="15156" max="15156" width="37" style="151" customWidth="1"/>
    <col min="15157" max="15175" width="36.85546875" style="151" customWidth="1"/>
    <col min="15176" max="15176" width="37" style="151" customWidth="1"/>
    <col min="15177" max="15194" width="36.85546875" style="151" customWidth="1"/>
    <col min="15195" max="15195" width="36.5703125" style="151" customWidth="1"/>
    <col min="15196" max="15208" width="36.85546875" style="151" customWidth="1"/>
    <col min="15209" max="15209" width="36.5703125" style="151" customWidth="1"/>
    <col min="15210" max="15212" width="36.85546875" style="151" customWidth="1"/>
    <col min="15213" max="15213" width="36.5703125" style="151" customWidth="1"/>
    <col min="15214" max="15221" width="36.85546875" style="151" customWidth="1"/>
    <col min="15222" max="15222" width="36.5703125" style="151" customWidth="1"/>
    <col min="15223" max="15360" width="36.85546875" style="151"/>
    <col min="15361" max="15361" width="18.5703125" style="151" customWidth="1"/>
    <col min="15362" max="15370" width="31.42578125" style="151" customWidth="1"/>
    <col min="15371" max="15387" width="36.85546875" style="151" customWidth="1"/>
    <col min="15388" max="15388" width="37" style="151" customWidth="1"/>
    <col min="15389" max="15404" width="36.85546875" style="151" customWidth="1"/>
    <col min="15405" max="15405" width="37.140625" style="151" customWidth="1"/>
    <col min="15406" max="15407" width="36.85546875" style="151" customWidth="1"/>
    <col min="15408" max="15408" width="36.5703125" style="151" customWidth="1"/>
    <col min="15409" max="15410" width="36.85546875" style="151" customWidth="1"/>
    <col min="15411" max="15411" width="36.5703125" style="151" customWidth="1"/>
    <col min="15412" max="15412" width="37" style="151" customWidth="1"/>
    <col min="15413" max="15431" width="36.85546875" style="151" customWidth="1"/>
    <col min="15432" max="15432" width="37" style="151" customWidth="1"/>
    <col min="15433" max="15450" width="36.85546875" style="151" customWidth="1"/>
    <col min="15451" max="15451" width="36.5703125" style="151" customWidth="1"/>
    <col min="15452" max="15464" width="36.85546875" style="151" customWidth="1"/>
    <col min="15465" max="15465" width="36.5703125" style="151" customWidth="1"/>
    <col min="15466" max="15468" width="36.85546875" style="151" customWidth="1"/>
    <col min="15469" max="15469" width="36.5703125" style="151" customWidth="1"/>
    <col min="15470" max="15477" width="36.85546875" style="151" customWidth="1"/>
    <col min="15478" max="15478" width="36.5703125" style="151" customWidth="1"/>
    <col min="15479" max="15616" width="36.85546875" style="151"/>
    <col min="15617" max="15617" width="18.5703125" style="151" customWidth="1"/>
    <col min="15618" max="15626" width="31.42578125" style="151" customWidth="1"/>
    <col min="15627" max="15643" width="36.85546875" style="151" customWidth="1"/>
    <col min="15644" max="15644" width="37" style="151" customWidth="1"/>
    <col min="15645" max="15660" width="36.85546875" style="151" customWidth="1"/>
    <col min="15661" max="15661" width="37.140625" style="151" customWidth="1"/>
    <col min="15662" max="15663" width="36.85546875" style="151" customWidth="1"/>
    <col min="15664" max="15664" width="36.5703125" style="151" customWidth="1"/>
    <col min="15665" max="15666" width="36.85546875" style="151" customWidth="1"/>
    <col min="15667" max="15667" width="36.5703125" style="151" customWidth="1"/>
    <col min="15668" max="15668" width="37" style="151" customWidth="1"/>
    <col min="15669" max="15687" width="36.85546875" style="151" customWidth="1"/>
    <col min="15688" max="15688" width="37" style="151" customWidth="1"/>
    <col min="15689" max="15706" width="36.85546875" style="151" customWidth="1"/>
    <col min="15707" max="15707" width="36.5703125" style="151" customWidth="1"/>
    <col min="15708" max="15720" width="36.85546875" style="151" customWidth="1"/>
    <col min="15721" max="15721" width="36.5703125" style="151" customWidth="1"/>
    <col min="15722" max="15724" width="36.85546875" style="151" customWidth="1"/>
    <col min="15725" max="15725" width="36.5703125" style="151" customWidth="1"/>
    <col min="15726" max="15733" width="36.85546875" style="151" customWidth="1"/>
    <col min="15734" max="15734" width="36.5703125" style="151" customWidth="1"/>
    <col min="15735" max="15872" width="36.85546875" style="151"/>
    <col min="15873" max="15873" width="18.5703125" style="151" customWidth="1"/>
    <col min="15874" max="15882" width="31.42578125" style="151" customWidth="1"/>
    <col min="15883" max="15899" width="36.85546875" style="151" customWidth="1"/>
    <col min="15900" max="15900" width="37" style="151" customWidth="1"/>
    <col min="15901" max="15916" width="36.85546875" style="151" customWidth="1"/>
    <col min="15917" max="15917" width="37.140625" style="151" customWidth="1"/>
    <col min="15918" max="15919" width="36.85546875" style="151" customWidth="1"/>
    <col min="15920" max="15920" width="36.5703125" style="151" customWidth="1"/>
    <col min="15921" max="15922" width="36.85546875" style="151" customWidth="1"/>
    <col min="15923" max="15923" width="36.5703125" style="151" customWidth="1"/>
    <col min="15924" max="15924" width="37" style="151" customWidth="1"/>
    <col min="15925" max="15943" width="36.85546875" style="151" customWidth="1"/>
    <col min="15944" max="15944" width="37" style="151" customWidth="1"/>
    <col min="15945" max="15962" width="36.85546875" style="151" customWidth="1"/>
    <col min="15963" max="15963" width="36.5703125" style="151" customWidth="1"/>
    <col min="15964" max="15976" width="36.85546875" style="151" customWidth="1"/>
    <col min="15977" max="15977" width="36.5703125" style="151" customWidth="1"/>
    <col min="15978" max="15980" width="36.85546875" style="151" customWidth="1"/>
    <col min="15981" max="15981" width="36.5703125" style="151" customWidth="1"/>
    <col min="15982" max="15989" width="36.85546875" style="151" customWidth="1"/>
    <col min="15990" max="15990" width="36.5703125" style="151" customWidth="1"/>
    <col min="15991" max="16128" width="36.85546875" style="151"/>
    <col min="16129" max="16129" width="18.5703125" style="151" customWidth="1"/>
    <col min="16130" max="16138" width="31.42578125" style="151" customWidth="1"/>
    <col min="16139" max="16155" width="36.85546875" style="151" customWidth="1"/>
    <col min="16156" max="16156" width="37" style="151" customWidth="1"/>
    <col min="16157" max="16172" width="36.85546875" style="151" customWidth="1"/>
    <col min="16173" max="16173" width="37.140625" style="151" customWidth="1"/>
    <col min="16174" max="16175" width="36.85546875" style="151" customWidth="1"/>
    <col min="16176" max="16176" width="36.5703125" style="151" customWidth="1"/>
    <col min="16177" max="16178" width="36.85546875" style="151" customWidth="1"/>
    <col min="16179" max="16179" width="36.5703125" style="151" customWidth="1"/>
    <col min="16180" max="16180" width="37" style="151" customWidth="1"/>
    <col min="16181" max="16199" width="36.85546875" style="151" customWidth="1"/>
    <col min="16200" max="16200" width="37" style="151" customWidth="1"/>
    <col min="16201" max="16218" width="36.85546875" style="151" customWidth="1"/>
    <col min="16219" max="16219" width="36.5703125" style="151" customWidth="1"/>
    <col min="16220" max="16232" width="36.85546875" style="151" customWidth="1"/>
    <col min="16233" max="16233" width="36.5703125" style="151" customWidth="1"/>
    <col min="16234" max="16236" width="36.85546875" style="151" customWidth="1"/>
    <col min="16237" max="16237" width="36.5703125" style="151" customWidth="1"/>
    <col min="16238" max="16245" width="36.85546875" style="151" customWidth="1"/>
    <col min="16246" max="16246" width="36.5703125" style="151" customWidth="1"/>
    <col min="16247" max="16384" width="36.85546875" style="151"/>
  </cols>
  <sheetData>
    <row r="1" spans="1:245" s="96" customFormat="1" ht="12.75" customHeight="1" x14ac:dyDescent="0.25">
      <c r="A1" s="92" t="s">
        <v>116</v>
      </c>
      <c r="B1" s="93"/>
      <c r="C1" s="94"/>
      <c r="D1" s="94"/>
      <c r="E1" s="94"/>
      <c r="F1" s="94"/>
      <c r="G1" s="94"/>
      <c r="H1" s="94"/>
      <c r="I1" s="94"/>
      <c r="J1" s="94"/>
      <c r="K1" s="95"/>
      <c r="L1" s="95"/>
      <c r="M1" s="95"/>
      <c r="N1" s="95"/>
      <c r="O1" s="95"/>
      <c r="P1" s="95"/>
      <c r="Q1" s="95"/>
      <c r="R1" s="95"/>
      <c r="S1" s="95"/>
      <c r="T1" s="95"/>
      <c r="U1" s="95"/>
      <c r="V1" s="95"/>
      <c r="W1" s="95"/>
      <c r="X1" s="95"/>
      <c r="Y1" s="95"/>
      <c r="Z1" s="95"/>
      <c r="AA1" s="95"/>
      <c r="AB1" s="95"/>
      <c r="AC1" s="95"/>
      <c r="AD1" s="95"/>
      <c r="AE1" s="95"/>
      <c r="AF1" s="95"/>
      <c r="AG1" s="95"/>
      <c r="AH1" s="95"/>
      <c r="AI1" s="95"/>
    </row>
    <row r="2" spans="1:245" s="100" customFormat="1" ht="12.75" customHeight="1" x14ac:dyDescent="0.25">
      <c r="A2" s="97" t="s">
        <v>117</v>
      </c>
      <c r="B2" s="98">
        <v>1</v>
      </c>
      <c r="C2" s="98">
        <v>2</v>
      </c>
      <c r="D2" s="98">
        <v>3</v>
      </c>
      <c r="E2" s="98">
        <v>4</v>
      </c>
      <c r="F2" s="98">
        <v>5</v>
      </c>
      <c r="G2" s="98">
        <v>6</v>
      </c>
      <c r="H2" s="98">
        <v>7</v>
      </c>
      <c r="I2" s="98">
        <v>8</v>
      </c>
      <c r="J2" s="98">
        <v>9</v>
      </c>
      <c r="K2" s="98"/>
      <c r="L2" s="98"/>
      <c r="M2" s="98"/>
      <c r="N2" s="98"/>
      <c r="O2" s="98"/>
      <c r="P2" s="98"/>
      <c r="Q2" s="98"/>
      <c r="R2" s="98"/>
      <c r="S2" s="98"/>
      <c r="T2" s="98"/>
      <c r="U2" s="98"/>
      <c r="V2" s="98"/>
      <c r="W2" s="98"/>
      <c r="X2" s="98"/>
      <c r="Y2" s="98"/>
      <c r="Z2" s="98"/>
      <c r="AA2" s="98"/>
      <c r="AB2" s="98"/>
      <c r="AC2" s="98"/>
      <c r="AD2" s="98"/>
      <c r="AE2" s="98"/>
      <c r="AF2" s="98"/>
      <c r="AG2" s="98"/>
      <c r="AH2" s="98"/>
      <c r="AI2" s="98"/>
      <c r="AJ2" s="99"/>
      <c r="AK2" s="99" t="str">
        <f t="shared" ref="AK2:CV2" si="0">IF(AK3="","",AJ2+1)</f>
        <v/>
      </c>
      <c r="AL2" s="99" t="str">
        <f t="shared" si="0"/>
        <v/>
      </c>
      <c r="AM2" s="99" t="str">
        <f t="shared" si="0"/>
        <v/>
      </c>
      <c r="AN2" s="99" t="str">
        <f t="shared" si="0"/>
        <v/>
      </c>
      <c r="AO2" s="99" t="str">
        <f t="shared" si="0"/>
        <v/>
      </c>
      <c r="AP2" s="99" t="str">
        <f t="shared" si="0"/>
        <v/>
      </c>
      <c r="AQ2" s="99" t="str">
        <f t="shared" si="0"/>
        <v/>
      </c>
      <c r="AR2" s="99" t="str">
        <f t="shared" si="0"/>
        <v/>
      </c>
      <c r="AS2" s="99" t="str">
        <f t="shared" si="0"/>
        <v/>
      </c>
      <c r="AT2" s="99" t="str">
        <f t="shared" si="0"/>
        <v/>
      </c>
      <c r="AU2" s="99" t="str">
        <f t="shared" si="0"/>
        <v/>
      </c>
      <c r="AV2" s="99" t="str">
        <f t="shared" si="0"/>
        <v/>
      </c>
      <c r="AW2" s="99" t="str">
        <f t="shared" si="0"/>
        <v/>
      </c>
      <c r="AX2" s="99" t="str">
        <f t="shared" si="0"/>
        <v/>
      </c>
      <c r="AY2" s="99" t="str">
        <f t="shared" si="0"/>
        <v/>
      </c>
      <c r="AZ2" s="99" t="str">
        <f t="shared" si="0"/>
        <v/>
      </c>
      <c r="BA2" s="99" t="str">
        <f t="shared" si="0"/>
        <v/>
      </c>
      <c r="BB2" s="99" t="str">
        <f t="shared" si="0"/>
        <v/>
      </c>
      <c r="BC2" s="99" t="str">
        <f t="shared" si="0"/>
        <v/>
      </c>
      <c r="BD2" s="99" t="str">
        <f t="shared" si="0"/>
        <v/>
      </c>
      <c r="BE2" s="99" t="str">
        <f t="shared" si="0"/>
        <v/>
      </c>
      <c r="BF2" s="99" t="str">
        <f t="shared" si="0"/>
        <v/>
      </c>
      <c r="BG2" s="99" t="str">
        <f t="shared" si="0"/>
        <v/>
      </c>
      <c r="BH2" s="99" t="str">
        <f t="shared" si="0"/>
        <v/>
      </c>
      <c r="BI2" s="99" t="str">
        <f t="shared" si="0"/>
        <v/>
      </c>
      <c r="BJ2" s="99" t="str">
        <f t="shared" si="0"/>
        <v/>
      </c>
      <c r="BK2" s="99" t="str">
        <f t="shared" si="0"/>
        <v/>
      </c>
      <c r="BL2" s="99" t="str">
        <f t="shared" si="0"/>
        <v/>
      </c>
      <c r="BM2" s="99" t="str">
        <f t="shared" si="0"/>
        <v/>
      </c>
      <c r="BN2" s="99" t="str">
        <f t="shared" si="0"/>
        <v/>
      </c>
      <c r="BO2" s="99" t="str">
        <f t="shared" si="0"/>
        <v/>
      </c>
      <c r="BP2" s="99" t="str">
        <f t="shared" si="0"/>
        <v/>
      </c>
      <c r="BQ2" s="99" t="str">
        <f t="shared" si="0"/>
        <v/>
      </c>
      <c r="BR2" s="99" t="str">
        <f t="shared" si="0"/>
        <v/>
      </c>
      <c r="BS2" s="99" t="str">
        <f t="shared" si="0"/>
        <v/>
      </c>
      <c r="BT2" s="99" t="str">
        <f t="shared" si="0"/>
        <v/>
      </c>
      <c r="BU2" s="99" t="str">
        <f t="shared" si="0"/>
        <v/>
      </c>
      <c r="BV2" s="99" t="str">
        <f t="shared" si="0"/>
        <v/>
      </c>
      <c r="BW2" s="99" t="str">
        <f t="shared" si="0"/>
        <v/>
      </c>
      <c r="BX2" s="99" t="str">
        <f t="shared" si="0"/>
        <v/>
      </c>
      <c r="BY2" s="99" t="str">
        <f t="shared" si="0"/>
        <v/>
      </c>
      <c r="BZ2" s="99" t="str">
        <f t="shared" si="0"/>
        <v/>
      </c>
      <c r="CA2" s="99" t="str">
        <f t="shared" si="0"/>
        <v/>
      </c>
      <c r="CB2" s="99" t="str">
        <f t="shared" si="0"/>
        <v/>
      </c>
      <c r="CC2" s="99" t="str">
        <f t="shared" si="0"/>
        <v/>
      </c>
      <c r="CD2" s="99" t="str">
        <f t="shared" si="0"/>
        <v/>
      </c>
      <c r="CE2" s="99" t="str">
        <f t="shared" si="0"/>
        <v/>
      </c>
      <c r="CF2" s="99" t="str">
        <f t="shared" si="0"/>
        <v/>
      </c>
      <c r="CG2" s="99" t="str">
        <f t="shared" si="0"/>
        <v/>
      </c>
      <c r="CH2" s="99" t="str">
        <f t="shared" si="0"/>
        <v/>
      </c>
      <c r="CI2" s="99" t="str">
        <f t="shared" si="0"/>
        <v/>
      </c>
      <c r="CJ2" s="99" t="str">
        <f t="shared" si="0"/>
        <v/>
      </c>
      <c r="CK2" s="99" t="str">
        <f t="shared" si="0"/>
        <v/>
      </c>
      <c r="CL2" s="99" t="str">
        <f t="shared" si="0"/>
        <v/>
      </c>
      <c r="CM2" s="99" t="str">
        <f t="shared" si="0"/>
        <v/>
      </c>
      <c r="CN2" s="99" t="str">
        <f t="shared" si="0"/>
        <v/>
      </c>
      <c r="CO2" s="99" t="str">
        <f t="shared" si="0"/>
        <v/>
      </c>
      <c r="CP2" s="99" t="str">
        <f t="shared" si="0"/>
        <v/>
      </c>
      <c r="CQ2" s="99" t="str">
        <f t="shared" si="0"/>
        <v/>
      </c>
      <c r="CR2" s="99" t="str">
        <f t="shared" si="0"/>
        <v/>
      </c>
      <c r="CS2" s="99" t="str">
        <f t="shared" si="0"/>
        <v/>
      </c>
      <c r="CT2" s="99" t="str">
        <f t="shared" si="0"/>
        <v/>
      </c>
      <c r="CU2" s="99" t="str">
        <f t="shared" si="0"/>
        <v/>
      </c>
      <c r="CV2" s="99" t="str">
        <f t="shared" si="0"/>
        <v/>
      </c>
      <c r="CW2" s="99" t="str">
        <f t="shared" ref="CW2:FH2" si="1">IF(CW3="","",CV2+1)</f>
        <v/>
      </c>
      <c r="CX2" s="99" t="str">
        <f t="shared" si="1"/>
        <v/>
      </c>
      <c r="CY2" s="99" t="str">
        <f t="shared" si="1"/>
        <v/>
      </c>
      <c r="CZ2" s="99" t="str">
        <f t="shared" si="1"/>
        <v/>
      </c>
      <c r="DA2" s="99" t="str">
        <f t="shared" si="1"/>
        <v/>
      </c>
      <c r="DB2" s="99" t="str">
        <f t="shared" si="1"/>
        <v/>
      </c>
      <c r="DC2" s="99" t="str">
        <f t="shared" si="1"/>
        <v/>
      </c>
      <c r="DD2" s="99" t="str">
        <f t="shared" si="1"/>
        <v/>
      </c>
      <c r="DE2" s="99" t="str">
        <f t="shared" si="1"/>
        <v/>
      </c>
      <c r="DF2" s="99" t="str">
        <f t="shared" si="1"/>
        <v/>
      </c>
      <c r="DG2" s="99" t="str">
        <f t="shared" si="1"/>
        <v/>
      </c>
      <c r="DH2" s="99" t="str">
        <f t="shared" si="1"/>
        <v/>
      </c>
      <c r="DI2" s="99" t="str">
        <f t="shared" si="1"/>
        <v/>
      </c>
      <c r="DJ2" s="99" t="str">
        <f t="shared" si="1"/>
        <v/>
      </c>
      <c r="DK2" s="99" t="str">
        <f t="shared" si="1"/>
        <v/>
      </c>
      <c r="DL2" s="99" t="str">
        <f t="shared" si="1"/>
        <v/>
      </c>
      <c r="DM2" s="99" t="str">
        <f t="shared" si="1"/>
        <v/>
      </c>
      <c r="DN2" s="99" t="str">
        <f t="shared" si="1"/>
        <v/>
      </c>
      <c r="DO2" s="99" t="str">
        <f t="shared" si="1"/>
        <v/>
      </c>
      <c r="DP2" s="99" t="str">
        <f t="shared" si="1"/>
        <v/>
      </c>
      <c r="DQ2" s="99" t="str">
        <f t="shared" si="1"/>
        <v/>
      </c>
      <c r="DR2" s="99" t="str">
        <f t="shared" si="1"/>
        <v/>
      </c>
      <c r="DS2" s="99" t="str">
        <f t="shared" si="1"/>
        <v/>
      </c>
      <c r="DT2" s="99" t="str">
        <f t="shared" si="1"/>
        <v/>
      </c>
      <c r="DU2" s="99" t="str">
        <f t="shared" si="1"/>
        <v/>
      </c>
      <c r="DV2" s="99" t="str">
        <f t="shared" si="1"/>
        <v/>
      </c>
      <c r="DW2" s="99" t="str">
        <f t="shared" si="1"/>
        <v/>
      </c>
      <c r="DX2" s="99" t="str">
        <f t="shared" si="1"/>
        <v/>
      </c>
      <c r="DY2" s="99" t="str">
        <f t="shared" si="1"/>
        <v/>
      </c>
      <c r="DZ2" s="99" t="str">
        <f t="shared" si="1"/>
        <v/>
      </c>
      <c r="EA2" s="99" t="str">
        <f t="shared" si="1"/>
        <v/>
      </c>
      <c r="EB2" s="99" t="str">
        <f t="shared" si="1"/>
        <v/>
      </c>
      <c r="EC2" s="99" t="str">
        <f t="shared" si="1"/>
        <v/>
      </c>
      <c r="ED2" s="99" t="str">
        <f t="shared" si="1"/>
        <v/>
      </c>
      <c r="EE2" s="99" t="str">
        <f t="shared" si="1"/>
        <v/>
      </c>
      <c r="EF2" s="99" t="str">
        <f t="shared" si="1"/>
        <v/>
      </c>
      <c r="EG2" s="99" t="str">
        <f t="shared" si="1"/>
        <v/>
      </c>
      <c r="EH2" s="99" t="str">
        <f t="shared" si="1"/>
        <v/>
      </c>
      <c r="EI2" s="99" t="str">
        <f t="shared" si="1"/>
        <v/>
      </c>
      <c r="EJ2" s="99" t="str">
        <f t="shared" si="1"/>
        <v/>
      </c>
      <c r="EK2" s="99" t="str">
        <f t="shared" si="1"/>
        <v/>
      </c>
      <c r="EL2" s="99" t="str">
        <f t="shared" si="1"/>
        <v/>
      </c>
      <c r="EM2" s="99" t="str">
        <f t="shared" si="1"/>
        <v/>
      </c>
      <c r="EN2" s="99" t="str">
        <f t="shared" si="1"/>
        <v/>
      </c>
      <c r="EO2" s="99" t="str">
        <f t="shared" si="1"/>
        <v/>
      </c>
      <c r="EP2" s="99" t="str">
        <f t="shared" si="1"/>
        <v/>
      </c>
      <c r="EQ2" s="99" t="str">
        <f t="shared" si="1"/>
        <v/>
      </c>
      <c r="ER2" s="99" t="str">
        <f t="shared" si="1"/>
        <v/>
      </c>
      <c r="ES2" s="99" t="str">
        <f t="shared" si="1"/>
        <v/>
      </c>
      <c r="ET2" s="99" t="str">
        <f t="shared" si="1"/>
        <v/>
      </c>
      <c r="EU2" s="99" t="str">
        <f t="shared" si="1"/>
        <v/>
      </c>
      <c r="EV2" s="99" t="str">
        <f t="shared" si="1"/>
        <v/>
      </c>
      <c r="EW2" s="99" t="str">
        <f t="shared" si="1"/>
        <v/>
      </c>
      <c r="EX2" s="99" t="str">
        <f t="shared" si="1"/>
        <v/>
      </c>
      <c r="EY2" s="99" t="str">
        <f t="shared" si="1"/>
        <v/>
      </c>
      <c r="EZ2" s="99" t="str">
        <f t="shared" si="1"/>
        <v/>
      </c>
      <c r="FA2" s="99" t="str">
        <f t="shared" si="1"/>
        <v/>
      </c>
      <c r="FB2" s="99" t="str">
        <f t="shared" si="1"/>
        <v/>
      </c>
      <c r="FC2" s="99" t="str">
        <f t="shared" si="1"/>
        <v/>
      </c>
      <c r="FD2" s="99" t="str">
        <f t="shared" si="1"/>
        <v/>
      </c>
      <c r="FE2" s="99" t="str">
        <f t="shared" si="1"/>
        <v/>
      </c>
      <c r="FF2" s="99" t="str">
        <f t="shared" si="1"/>
        <v/>
      </c>
      <c r="FG2" s="99" t="str">
        <f t="shared" si="1"/>
        <v/>
      </c>
      <c r="FH2" s="99" t="str">
        <f t="shared" si="1"/>
        <v/>
      </c>
      <c r="FI2" s="99" t="str">
        <f t="shared" ref="FI2:HT2" si="2">IF(FI3="","",FH2+1)</f>
        <v/>
      </c>
      <c r="FJ2" s="99" t="str">
        <f t="shared" si="2"/>
        <v/>
      </c>
      <c r="FK2" s="99" t="str">
        <f t="shared" si="2"/>
        <v/>
      </c>
      <c r="FL2" s="99" t="str">
        <f t="shared" si="2"/>
        <v/>
      </c>
      <c r="FM2" s="99" t="str">
        <f t="shared" si="2"/>
        <v/>
      </c>
      <c r="FN2" s="99" t="str">
        <f t="shared" si="2"/>
        <v/>
      </c>
      <c r="FO2" s="99" t="str">
        <f t="shared" si="2"/>
        <v/>
      </c>
      <c r="FP2" s="99" t="str">
        <f t="shared" si="2"/>
        <v/>
      </c>
      <c r="FQ2" s="99" t="str">
        <f t="shared" si="2"/>
        <v/>
      </c>
      <c r="FR2" s="99" t="str">
        <f t="shared" si="2"/>
        <v/>
      </c>
      <c r="FS2" s="99" t="str">
        <f t="shared" si="2"/>
        <v/>
      </c>
      <c r="FT2" s="99" t="str">
        <f t="shared" si="2"/>
        <v/>
      </c>
      <c r="FU2" s="99" t="str">
        <f t="shared" si="2"/>
        <v/>
      </c>
      <c r="FV2" s="99" t="str">
        <f t="shared" si="2"/>
        <v/>
      </c>
      <c r="FW2" s="99" t="str">
        <f t="shared" si="2"/>
        <v/>
      </c>
      <c r="FX2" s="99" t="str">
        <f t="shared" si="2"/>
        <v/>
      </c>
      <c r="FY2" s="99" t="str">
        <f t="shared" si="2"/>
        <v/>
      </c>
      <c r="FZ2" s="99" t="str">
        <f t="shared" si="2"/>
        <v/>
      </c>
      <c r="GA2" s="99" t="str">
        <f t="shared" si="2"/>
        <v/>
      </c>
      <c r="GB2" s="99" t="str">
        <f t="shared" si="2"/>
        <v/>
      </c>
      <c r="GC2" s="99" t="str">
        <f t="shared" si="2"/>
        <v/>
      </c>
      <c r="GD2" s="99" t="str">
        <f t="shared" si="2"/>
        <v/>
      </c>
      <c r="GE2" s="99" t="str">
        <f t="shared" si="2"/>
        <v/>
      </c>
      <c r="GF2" s="99" t="str">
        <f t="shared" si="2"/>
        <v/>
      </c>
      <c r="GG2" s="99" t="str">
        <f t="shared" si="2"/>
        <v/>
      </c>
      <c r="GH2" s="99" t="str">
        <f t="shared" si="2"/>
        <v/>
      </c>
      <c r="GI2" s="99" t="str">
        <f t="shared" si="2"/>
        <v/>
      </c>
      <c r="GJ2" s="99" t="str">
        <f t="shared" si="2"/>
        <v/>
      </c>
      <c r="GK2" s="99" t="str">
        <f t="shared" si="2"/>
        <v/>
      </c>
      <c r="GL2" s="99" t="str">
        <f t="shared" si="2"/>
        <v/>
      </c>
      <c r="GM2" s="99" t="str">
        <f t="shared" si="2"/>
        <v/>
      </c>
      <c r="GN2" s="99" t="str">
        <f t="shared" si="2"/>
        <v/>
      </c>
      <c r="GO2" s="99" t="str">
        <f t="shared" si="2"/>
        <v/>
      </c>
      <c r="GP2" s="99" t="str">
        <f t="shared" si="2"/>
        <v/>
      </c>
      <c r="GQ2" s="99" t="str">
        <f t="shared" si="2"/>
        <v/>
      </c>
      <c r="GR2" s="99" t="str">
        <f t="shared" si="2"/>
        <v/>
      </c>
      <c r="GS2" s="99" t="str">
        <f t="shared" si="2"/>
        <v/>
      </c>
      <c r="GT2" s="99" t="str">
        <f t="shared" si="2"/>
        <v/>
      </c>
      <c r="GU2" s="99" t="str">
        <f t="shared" si="2"/>
        <v/>
      </c>
      <c r="GV2" s="99" t="str">
        <f t="shared" si="2"/>
        <v/>
      </c>
      <c r="GW2" s="99" t="str">
        <f t="shared" si="2"/>
        <v/>
      </c>
      <c r="GX2" s="99" t="str">
        <f t="shared" si="2"/>
        <v/>
      </c>
      <c r="GY2" s="99" t="str">
        <f t="shared" si="2"/>
        <v/>
      </c>
      <c r="GZ2" s="99" t="str">
        <f t="shared" si="2"/>
        <v/>
      </c>
      <c r="HA2" s="99" t="str">
        <f t="shared" si="2"/>
        <v/>
      </c>
      <c r="HB2" s="99" t="str">
        <f t="shared" si="2"/>
        <v/>
      </c>
      <c r="HC2" s="99" t="str">
        <f t="shared" si="2"/>
        <v/>
      </c>
      <c r="HD2" s="99" t="str">
        <f t="shared" si="2"/>
        <v/>
      </c>
      <c r="HE2" s="99" t="str">
        <f t="shared" si="2"/>
        <v/>
      </c>
      <c r="HF2" s="99" t="str">
        <f t="shared" si="2"/>
        <v/>
      </c>
      <c r="HG2" s="99" t="str">
        <f t="shared" si="2"/>
        <v/>
      </c>
      <c r="HH2" s="99" t="str">
        <f t="shared" si="2"/>
        <v/>
      </c>
      <c r="HI2" s="99" t="str">
        <f t="shared" si="2"/>
        <v/>
      </c>
      <c r="HJ2" s="99" t="str">
        <f t="shared" si="2"/>
        <v/>
      </c>
      <c r="HK2" s="99" t="str">
        <f t="shared" si="2"/>
        <v/>
      </c>
      <c r="HL2" s="99" t="str">
        <f t="shared" si="2"/>
        <v/>
      </c>
      <c r="HM2" s="99" t="str">
        <f t="shared" si="2"/>
        <v/>
      </c>
      <c r="HN2" s="99" t="str">
        <f t="shared" si="2"/>
        <v/>
      </c>
      <c r="HO2" s="99" t="str">
        <f t="shared" si="2"/>
        <v/>
      </c>
      <c r="HP2" s="99" t="str">
        <f t="shared" si="2"/>
        <v/>
      </c>
      <c r="HQ2" s="99" t="str">
        <f t="shared" si="2"/>
        <v/>
      </c>
      <c r="HR2" s="99" t="str">
        <f t="shared" si="2"/>
        <v/>
      </c>
      <c r="HS2" s="99" t="str">
        <f t="shared" si="2"/>
        <v/>
      </c>
      <c r="HT2" s="99" t="str">
        <f t="shared" si="2"/>
        <v/>
      </c>
      <c r="HU2" s="99" t="str">
        <f t="shared" ref="HU2:IK2" si="3">IF(HU3="","",HT2+1)</f>
        <v/>
      </c>
      <c r="HV2" s="99" t="str">
        <f t="shared" si="3"/>
        <v/>
      </c>
      <c r="HW2" s="99" t="str">
        <f t="shared" si="3"/>
        <v/>
      </c>
      <c r="HX2" s="99" t="str">
        <f t="shared" si="3"/>
        <v/>
      </c>
      <c r="HY2" s="99" t="str">
        <f t="shared" si="3"/>
        <v/>
      </c>
      <c r="HZ2" s="99" t="str">
        <f t="shared" si="3"/>
        <v/>
      </c>
      <c r="IA2" s="99" t="str">
        <f t="shared" si="3"/>
        <v/>
      </c>
      <c r="IB2" s="99" t="str">
        <f t="shared" si="3"/>
        <v/>
      </c>
      <c r="IC2" s="99" t="str">
        <f t="shared" si="3"/>
        <v/>
      </c>
      <c r="ID2" s="99" t="str">
        <f t="shared" si="3"/>
        <v/>
      </c>
      <c r="IE2" s="99" t="str">
        <f t="shared" si="3"/>
        <v/>
      </c>
      <c r="IF2" s="99" t="str">
        <f t="shared" si="3"/>
        <v/>
      </c>
      <c r="IG2" s="99" t="str">
        <f t="shared" si="3"/>
        <v/>
      </c>
      <c r="IH2" s="99" t="str">
        <f t="shared" si="3"/>
        <v/>
      </c>
      <c r="II2" s="99" t="str">
        <f t="shared" si="3"/>
        <v/>
      </c>
      <c r="IJ2" s="99" t="str">
        <f t="shared" si="3"/>
        <v/>
      </c>
      <c r="IK2" s="99" t="str">
        <f t="shared" si="3"/>
        <v/>
      </c>
    </row>
    <row r="3" spans="1:245" s="105" customFormat="1" x14ac:dyDescent="0.2">
      <c r="A3" s="101" t="s">
        <v>118</v>
      </c>
      <c r="B3" s="102"/>
      <c r="C3" s="102"/>
      <c r="D3" s="102"/>
      <c r="E3" s="102" t="s">
        <v>626</v>
      </c>
      <c r="F3" s="103"/>
      <c r="G3" s="103" t="s">
        <v>149</v>
      </c>
      <c r="H3" s="102"/>
      <c r="I3" s="102"/>
      <c r="J3" s="102"/>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row>
    <row r="4" spans="1:245" s="105" customFormat="1" ht="51" x14ac:dyDescent="0.2">
      <c r="A4" s="101" t="s">
        <v>119</v>
      </c>
      <c r="B4" s="102" t="s">
        <v>365</v>
      </c>
      <c r="C4" s="102" t="s">
        <v>663</v>
      </c>
      <c r="D4" s="270" t="s">
        <v>714</v>
      </c>
      <c r="E4" s="270" t="s">
        <v>625</v>
      </c>
      <c r="F4" s="104" t="s">
        <v>670</v>
      </c>
      <c r="G4" s="102" t="s">
        <v>692</v>
      </c>
      <c r="H4" s="270"/>
      <c r="I4" s="102"/>
      <c r="J4" s="102"/>
      <c r="K4" s="103"/>
      <c r="L4" s="102"/>
      <c r="M4" s="102"/>
      <c r="N4" s="102"/>
      <c r="O4" s="103"/>
      <c r="P4" s="103"/>
      <c r="Q4" s="102"/>
      <c r="R4" s="102"/>
      <c r="S4" s="102"/>
      <c r="T4" s="102"/>
      <c r="U4" s="102"/>
      <c r="V4" s="102"/>
      <c r="W4" s="102"/>
      <c r="X4" s="107"/>
      <c r="Y4" s="102"/>
      <c r="Z4" s="103"/>
      <c r="AA4" s="102"/>
      <c r="AB4" s="102"/>
      <c r="AC4" s="103"/>
      <c r="AD4" s="103"/>
      <c r="AE4" s="103"/>
      <c r="AF4" s="103"/>
      <c r="AG4" s="103"/>
      <c r="AH4" s="103"/>
      <c r="AI4" s="103"/>
      <c r="AQ4" s="108"/>
      <c r="AR4" s="108"/>
      <c r="AS4" s="108"/>
      <c r="AT4" s="108"/>
      <c r="AU4" s="108"/>
      <c r="AV4" s="108"/>
      <c r="AW4" s="108"/>
      <c r="GA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row>
    <row r="5" spans="1:245" s="113" customFormat="1" x14ac:dyDescent="0.2">
      <c r="A5" s="109" t="s">
        <v>120</v>
      </c>
      <c r="B5" s="110" t="s">
        <v>366</v>
      </c>
      <c r="C5" s="110" t="s">
        <v>664</v>
      </c>
      <c r="D5" s="110" t="s">
        <v>715</v>
      </c>
      <c r="E5" s="110" t="s">
        <v>627</v>
      </c>
      <c r="F5" s="112" t="s">
        <v>671</v>
      </c>
      <c r="G5" s="110" t="s">
        <v>693</v>
      </c>
      <c r="H5" s="110"/>
      <c r="I5" s="110"/>
      <c r="J5" s="110"/>
      <c r="K5" s="110"/>
      <c r="L5" s="111"/>
      <c r="M5" s="110"/>
      <c r="N5" s="111"/>
      <c r="O5" s="111"/>
      <c r="P5" s="111"/>
      <c r="Q5" s="110"/>
      <c r="R5" s="111"/>
      <c r="S5" s="110"/>
      <c r="T5" s="111"/>
      <c r="U5" s="110"/>
      <c r="V5" s="111"/>
      <c r="W5" s="110"/>
      <c r="X5" s="111"/>
      <c r="Y5" s="110"/>
      <c r="Z5" s="110"/>
      <c r="AA5" s="111"/>
      <c r="AB5" s="111"/>
      <c r="AC5" s="111"/>
      <c r="AD5" s="111"/>
      <c r="AE5" s="111"/>
      <c r="AF5" s="111"/>
      <c r="AG5" s="111"/>
      <c r="AH5" s="111"/>
      <c r="AI5" s="111"/>
      <c r="DO5" s="114"/>
      <c r="GC5" s="115"/>
      <c r="GD5" s="115"/>
      <c r="GE5" s="115"/>
      <c r="GF5" s="115"/>
      <c r="GG5" s="115"/>
      <c r="GH5" s="115"/>
      <c r="GI5" s="115"/>
      <c r="GJ5" s="115"/>
      <c r="GK5" s="115"/>
      <c r="GL5" s="115"/>
      <c r="GM5" s="115"/>
      <c r="GN5" s="115"/>
      <c r="GO5" s="115"/>
      <c r="GP5" s="115"/>
      <c r="GQ5" s="115"/>
      <c r="GR5" s="115"/>
      <c r="GS5" s="115"/>
      <c r="GT5" s="115"/>
      <c r="GU5" s="115"/>
      <c r="GV5" s="115"/>
      <c r="GW5" s="116"/>
      <c r="GX5" s="115"/>
      <c r="GY5" s="115"/>
      <c r="GZ5" s="115"/>
      <c r="HA5" s="115"/>
      <c r="HB5" s="115"/>
    </row>
    <row r="6" spans="1:245" s="113" customFormat="1" ht="25.5" x14ac:dyDescent="0.2">
      <c r="A6" s="109" t="s">
        <v>121</v>
      </c>
      <c r="B6" s="110" t="s">
        <v>367</v>
      </c>
      <c r="C6" s="110" t="s">
        <v>665</v>
      </c>
      <c r="D6" s="110" t="s">
        <v>716</v>
      </c>
      <c r="E6" s="110"/>
      <c r="F6" s="112"/>
      <c r="G6" s="111"/>
      <c r="H6" s="110"/>
      <c r="I6" s="110"/>
      <c r="J6" s="110"/>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row>
    <row r="7" spans="1:245" s="120" customFormat="1" x14ac:dyDescent="0.2">
      <c r="A7" s="101" t="s">
        <v>122</v>
      </c>
      <c r="B7" s="117" t="s">
        <v>368</v>
      </c>
      <c r="C7" s="117" t="s">
        <v>666</v>
      </c>
      <c r="D7" s="117" t="s">
        <v>717</v>
      </c>
      <c r="E7" s="117" t="s">
        <v>628</v>
      </c>
      <c r="F7" s="119" t="s">
        <v>628</v>
      </c>
      <c r="G7" s="117" t="s">
        <v>628</v>
      </c>
      <c r="H7" s="117"/>
      <c r="I7" s="117"/>
      <c r="J7" s="117"/>
      <c r="K7" s="118"/>
      <c r="L7" s="118"/>
      <c r="M7" s="117"/>
      <c r="N7" s="118"/>
      <c r="O7" s="118"/>
      <c r="P7" s="118"/>
      <c r="Q7" s="117"/>
      <c r="R7" s="118"/>
      <c r="S7" s="117"/>
      <c r="T7" s="118"/>
      <c r="U7" s="118"/>
      <c r="V7" s="118"/>
      <c r="W7" s="118"/>
      <c r="X7" s="118"/>
      <c r="Y7" s="118"/>
      <c r="Z7" s="118"/>
      <c r="AA7" s="118"/>
      <c r="AB7" s="118"/>
      <c r="AC7" s="118"/>
      <c r="AD7" s="118"/>
      <c r="AE7" s="118"/>
      <c r="AF7" s="118"/>
      <c r="AG7" s="118"/>
      <c r="AH7" s="118"/>
      <c r="AI7" s="118"/>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row>
    <row r="8" spans="1:245" s="120" customFormat="1" x14ac:dyDescent="0.2">
      <c r="A8" s="101" t="s">
        <v>123</v>
      </c>
      <c r="B8" s="117"/>
      <c r="C8" s="117"/>
      <c r="D8" s="117"/>
      <c r="E8" s="117"/>
      <c r="F8" s="119"/>
      <c r="G8" s="118"/>
      <c r="H8" s="117"/>
      <c r="I8" s="117"/>
      <c r="J8" s="117"/>
      <c r="K8" s="118"/>
      <c r="L8" s="118"/>
      <c r="M8" s="118"/>
      <c r="N8" s="117"/>
      <c r="O8" s="118"/>
      <c r="P8" s="118"/>
      <c r="Q8" s="118"/>
      <c r="R8" s="118"/>
      <c r="S8" s="117"/>
      <c r="T8" s="118"/>
      <c r="U8" s="118"/>
      <c r="V8" s="118"/>
      <c r="W8" s="118"/>
      <c r="X8" s="118"/>
      <c r="Y8" s="118"/>
      <c r="Z8" s="118"/>
      <c r="AA8" s="118"/>
      <c r="AB8" s="118"/>
      <c r="AC8" s="118"/>
      <c r="AD8" s="118"/>
      <c r="AE8" s="118"/>
      <c r="AF8" s="118"/>
      <c r="AG8" s="118"/>
      <c r="AH8" s="118"/>
      <c r="AI8" s="118"/>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row>
    <row r="9" spans="1:245" s="113" customFormat="1" x14ac:dyDescent="0.2">
      <c r="A9" s="109" t="s">
        <v>124</v>
      </c>
      <c r="B9" s="110"/>
      <c r="C9" s="122"/>
      <c r="D9" s="122" t="s">
        <v>718</v>
      </c>
      <c r="E9" s="122" t="s">
        <v>699</v>
      </c>
      <c r="F9" s="112"/>
      <c r="G9" s="122" t="s">
        <v>694</v>
      </c>
      <c r="H9" s="122"/>
      <c r="I9" s="110"/>
      <c r="J9" s="110"/>
      <c r="K9" s="111"/>
      <c r="L9" s="110"/>
      <c r="M9" s="110"/>
      <c r="N9" s="111"/>
      <c r="O9" s="111"/>
      <c r="P9" s="111"/>
      <c r="Q9" s="122"/>
      <c r="R9" s="111"/>
      <c r="S9" s="110"/>
      <c r="T9" s="110"/>
      <c r="U9" s="110"/>
      <c r="V9" s="111"/>
      <c r="W9" s="111"/>
      <c r="X9" s="111"/>
      <c r="Y9" s="111"/>
      <c r="Z9" s="111"/>
      <c r="AA9" s="111"/>
      <c r="AB9" s="111"/>
      <c r="AC9" s="111"/>
      <c r="AD9" s="111"/>
      <c r="AE9" s="111"/>
      <c r="AF9" s="111"/>
      <c r="AG9" s="111"/>
      <c r="AH9" s="111"/>
      <c r="AI9" s="111"/>
      <c r="AY9" s="114"/>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row>
    <row r="10" spans="1:245" s="113" customFormat="1" x14ac:dyDescent="0.2">
      <c r="A10" s="109" t="s">
        <v>125</v>
      </c>
      <c r="B10" s="110"/>
      <c r="C10" s="110" t="s">
        <v>667</v>
      </c>
      <c r="D10" s="110" t="s">
        <v>719</v>
      </c>
      <c r="E10" s="110" t="s">
        <v>629</v>
      </c>
      <c r="F10" s="112"/>
      <c r="G10" s="110" t="s">
        <v>695</v>
      </c>
      <c r="H10" s="110"/>
      <c r="I10" s="110"/>
      <c r="J10" s="110"/>
      <c r="K10" s="111"/>
      <c r="L10" s="111"/>
      <c r="M10" s="111"/>
      <c r="N10" s="111"/>
      <c r="O10" s="111"/>
      <c r="P10" s="111"/>
      <c r="Q10" s="110"/>
      <c r="R10" s="111"/>
      <c r="S10" s="111"/>
      <c r="T10" s="111"/>
      <c r="U10" s="111"/>
      <c r="V10" s="111"/>
      <c r="W10" s="111"/>
      <c r="X10" s="111"/>
      <c r="Y10" s="111"/>
      <c r="Z10" s="111"/>
      <c r="AA10" s="111"/>
      <c r="AB10" s="111"/>
      <c r="AC10" s="111"/>
      <c r="AD10" s="111"/>
      <c r="AE10" s="111"/>
      <c r="AF10" s="111"/>
      <c r="AG10" s="111"/>
      <c r="AH10" s="111"/>
      <c r="AI10" s="111"/>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row>
    <row r="11" spans="1:245" s="120" customFormat="1" x14ac:dyDescent="0.2">
      <c r="A11" s="101" t="s">
        <v>126</v>
      </c>
      <c r="B11" s="117"/>
      <c r="C11" s="117"/>
      <c r="D11" s="117"/>
      <c r="E11" s="117"/>
      <c r="F11" s="119"/>
      <c r="G11" s="118"/>
      <c r="H11" s="117"/>
      <c r="I11" s="117"/>
      <c r="J11" s="117"/>
      <c r="K11" s="118"/>
      <c r="L11" s="118"/>
      <c r="M11" s="118"/>
      <c r="N11" s="118"/>
      <c r="O11" s="118"/>
      <c r="P11" s="118"/>
      <c r="Q11" s="118"/>
      <c r="R11" s="118"/>
      <c r="S11" s="117"/>
      <c r="T11" s="118"/>
      <c r="U11" s="118"/>
      <c r="V11" s="118"/>
      <c r="W11" s="118"/>
      <c r="X11" s="117"/>
      <c r="Y11" s="118"/>
      <c r="Z11" s="118"/>
      <c r="AA11" s="118"/>
      <c r="AB11" s="118"/>
      <c r="AC11" s="118"/>
      <c r="AD11" s="118"/>
      <c r="AE11" s="118"/>
      <c r="AF11" s="118"/>
      <c r="AG11" s="118"/>
      <c r="AH11" s="118"/>
      <c r="AI11" s="118"/>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row>
    <row r="12" spans="1:245" s="120" customFormat="1" ht="25.5" x14ac:dyDescent="0.2">
      <c r="A12" s="101" t="s">
        <v>127</v>
      </c>
      <c r="B12" s="117"/>
      <c r="C12" s="117"/>
      <c r="D12" s="117"/>
      <c r="E12" s="117"/>
      <c r="F12" s="119"/>
      <c r="G12" s="118"/>
      <c r="H12" s="117"/>
      <c r="I12" s="117"/>
      <c r="J12" s="117"/>
      <c r="K12" s="118"/>
      <c r="L12" s="118"/>
      <c r="M12" s="118"/>
      <c r="N12" s="118"/>
      <c r="O12" s="118"/>
      <c r="P12" s="118"/>
      <c r="Q12" s="118"/>
      <c r="R12" s="118"/>
      <c r="S12" s="117"/>
      <c r="T12" s="118"/>
      <c r="U12" s="118"/>
      <c r="V12" s="118"/>
      <c r="W12" s="118"/>
      <c r="X12" s="117"/>
      <c r="Y12" s="118"/>
      <c r="Z12" s="118"/>
      <c r="AA12" s="118"/>
      <c r="AB12" s="118"/>
      <c r="AC12" s="118"/>
      <c r="AD12" s="118"/>
      <c r="AE12" s="118"/>
      <c r="AF12" s="118"/>
      <c r="AG12" s="118"/>
      <c r="AH12" s="118"/>
      <c r="AI12" s="118"/>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row>
    <row r="13" spans="1:245" s="113" customFormat="1" x14ac:dyDescent="0.2">
      <c r="A13" s="109" t="s">
        <v>128</v>
      </c>
      <c r="B13" s="110"/>
      <c r="C13" s="110"/>
      <c r="D13" s="110"/>
      <c r="E13" s="110"/>
      <c r="F13" s="112"/>
      <c r="G13" s="111"/>
      <c r="H13" s="110"/>
      <c r="I13" s="110"/>
      <c r="J13" s="110"/>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row>
    <row r="14" spans="1:245" s="113" customFormat="1" x14ac:dyDescent="0.2">
      <c r="A14" s="109" t="s">
        <v>129</v>
      </c>
      <c r="B14" s="110"/>
      <c r="C14" s="110"/>
      <c r="D14" s="110"/>
      <c r="E14" s="110"/>
      <c r="F14" s="112"/>
      <c r="G14" s="111"/>
      <c r="H14" s="110"/>
      <c r="I14" s="110"/>
      <c r="J14" s="110"/>
      <c r="K14" s="111"/>
      <c r="L14" s="111"/>
      <c r="M14" s="111"/>
      <c r="N14" s="110"/>
      <c r="O14" s="111"/>
      <c r="P14" s="111"/>
      <c r="Q14" s="111"/>
      <c r="R14" s="111"/>
      <c r="S14" s="111"/>
      <c r="T14" s="111"/>
      <c r="U14" s="111"/>
      <c r="V14" s="111"/>
      <c r="W14" s="111"/>
      <c r="X14" s="111"/>
      <c r="Y14" s="111"/>
      <c r="Z14" s="111"/>
      <c r="AA14" s="111"/>
      <c r="AB14" s="111"/>
      <c r="AC14" s="111"/>
      <c r="AD14" s="111"/>
      <c r="AE14" s="111"/>
      <c r="AF14" s="111"/>
      <c r="AG14" s="111"/>
      <c r="AH14" s="111"/>
      <c r="AI14" s="111"/>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row>
    <row r="15" spans="1:245" s="105" customFormat="1" x14ac:dyDescent="0.2">
      <c r="A15" s="101" t="s">
        <v>130</v>
      </c>
      <c r="B15" s="102"/>
      <c r="C15" s="102"/>
      <c r="D15" s="102"/>
      <c r="E15" s="102"/>
      <c r="F15" s="104"/>
      <c r="G15" s="103"/>
      <c r="H15" s="102"/>
      <c r="I15" s="102"/>
      <c r="J15" s="102"/>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row>
    <row r="16" spans="1:245" s="120" customFormat="1" x14ac:dyDescent="0.2">
      <c r="A16" s="101" t="s">
        <v>131</v>
      </c>
      <c r="B16" s="117"/>
      <c r="C16" s="117"/>
      <c r="D16" s="117"/>
      <c r="E16" s="117"/>
      <c r="F16" s="119"/>
      <c r="G16" s="118"/>
      <c r="H16" s="117"/>
      <c r="I16" s="117"/>
      <c r="J16" s="117"/>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CC16" s="105"/>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row>
    <row r="17" spans="1:210" s="126" customFormat="1" x14ac:dyDescent="0.2">
      <c r="A17" s="109" t="s">
        <v>132</v>
      </c>
      <c r="B17" s="123"/>
      <c r="C17" s="123"/>
      <c r="D17" s="123"/>
      <c r="E17" s="123"/>
      <c r="F17" s="125"/>
      <c r="G17" s="124"/>
      <c r="H17" s="123"/>
      <c r="I17" s="123"/>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row>
    <row r="18" spans="1:210" s="126" customFormat="1" x14ac:dyDescent="0.2">
      <c r="A18" s="109" t="s">
        <v>133</v>
      </c>
      <c r="B18" s="123"/>
      <c r="C18" s="123"/>
      <c r="D18" s="123"/>
      <c r="E18" s="123"/>
      <c r="F18" s="125"/>
      <c r="G18" s="124"/>
      <c r="H18" s="123"/>
      <c r="I18" s="123"/>
      <c r="J18" s="123"/>
      <c r="K18" s="124"/>
      <c r="L18" s="124"/>
      <c r="M18" s="124"/>
      <c r="N18" s="124"/>
      <c r="O18" s="124"/>
      <c r="P18" s="124"/>
      <c r="Q18" s="124"/>
      <c r="R18" s="124"/>
      <c r="S18" s="124"/>
      <c r="T18" s="124"/>
      <c r="U18" s="124"/>
      <c r="V18" s="124"/>
      <c r="W18" s="124"/>
      <c r="X18" s="128"/>
      <c r="Y18" s="124"/>
      <c r="Z18" s="124"/>
      <c r="AA18" s="124"/>
      <c r="AB18" s="124"/>
      <c r="AC18" s="124"/>
      <c r="AD18" s="124"/>
      <c r="AE18" s="124"/>
      <c r="AF18" s="124"/>
      <c r="AG18" s="124"/>
      <c r="AH18" s="124"/>
      <c r="AI18" s="124"/>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row>
    <row r="19" spans="1:210" s="105" customFormat="1" x14ac:dyDescent="0.2">
      <c r="A19" s="101" t="s">
        <v>134</v>
      </c>
      <c r="B19" s="102"/>
      <c r="C19" s="102"/>
      <c r="D19" s="102"/>
      <c r="E19" s="102"/>
      <c r="F19" s="104"/>
      <c r="G19" s="103"/>
      <c r="H19" s="102"/>
      <c r="I19" s="102"/>
      <c r="J19" s="102"/>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row>
    <row r="20" spans="1:210" s="134" customFormat="1" x14ac:dyDescent="0.25">
      <c r="A20" s="129" t="s">
        <v>135</v>
      </c>
      <c r="B20" s="130"/>
      <c r="C20" s="130" t="s">
        <v>136</v>
      </c>
      <c r="D20" s="130" t="s">
        <v>136</v>
      </c>
      <c r="E20" s="130" t="s">
        <v>136</v>
      </c>
      <c r="F20" s="132" t="s">
        <v>672</v>
      </c>
      <c r="G20" s="131" t="s">
        <v>696</v>
      </c>
      <c r="H20" s="130"/>
      <c r="I20" s="130"/>
      <c r="J20" s="130"/>
      <c r="K20" s="131"/>
      <c r="L20" s="131"/>
      <c r="M20" s="133"/>
      <c r="N20" s="131"/>
      <c r="P20" s="135"/>
      <c r="Q20" s="131"/>
      <c r="R20" s="131"/>
      <c r="T20" s="131"/>
      <c r="U20" s="131"/>
      <c r="V20" s="131"/>
      <c r="W20" s="131"/>
      <c r="X20" s="131"/>
      <c r="Y20" s="131"/>
      <c r="Z20" s="131"/>
      <c r="AA20" s="135"/>
      <c r="AB20" s="135"/>
      <c r="AC20" s="135"/>
      <c r="AD20" s="135"/>
      <c r="AE20" s="135"/>
      <c r="AF20" s="135"/>
      <c r="AG20" s="135"/>
      <c r="AH20" s="135"/>
      <c r="AI20" s="135"/>
      <c r="AJ20" s="135"/>
      <c r="AK20" s="135"/>
      <c r="AL20" s="135"/>
      <c r="AM20" s="135"/>
      <c r="AN20" s="135"/>
      <c r="AO20" s="135"/>
      <c r="AP20" s="135"/>
      <c r="AQ20" s="135"/>
      <c r="AR20" s="135"/>
      <c r="AS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X20" s="135"/>
      <c r="BY20" s="135"/>
      <c r="BZ20" s="135"/>
      <c r="CA20" s="135"/>
      <c r="CB20" s="135"/>
      <c r="CC20" s="135"/>
      <c r="CD20" s="135"/>
      <c r="CE20" s="135"/>
      <c r="CF20" s="135"/>
      <c r="CG20" s="135"/>
      <c r="CH20" s="135"/>
      <c r="CI20" s="135"/>
      <c r="CK20" s="135"/>
      <c r="CL20" s="135"/>
      <c r="CN20" s="135"/>
      <c r="CO20" s="135"/>
      <c r="CP20" s="135"/>
      <c r="CQ20" s="135"/>
      <c r="CR20" s="135"/>
      <c r="CS20" s="135"/>
      <c r="CT20" s="135"/>
      <c r="CU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GC20" s="133"/>
      <c r="GE20" s="133"/>
      <c r="GI20" s="133"/>
      <c r="GJ20" s="133"/>
      <c r="GK20" s="133"/>
      <c r="GM20" s="133"/>
      <c r="GN20" s="133"/>
      <c r="GO20" s="133"/>
      <c r="GP20" s="133"/>
      <c r="GQ20" s="133"/>
      <c r="GR20" s="133"/>
      <c r="GS20" s="133"/>
      <c r="GT20" s="133"/>
      <c r="GU20" s="133"/>
      <c r="GV20" s="133"/>
      <c r="GW20" s="133"/>
      <c r="GX20" s="133"/>
      <c r="GY20" s="133"/>
      <c r="GZ20" s="133"/>
      <c r="HA20" s="133"/>
      <c r="HB20" s="133"/>
    </row>
    <row r="21" spans="1:210" s="117" customFormat="1" ht="25.5" x14ac:dyDescent="0.25">
      <c r="A21" s="136" t="s">
        <v>137</v>
      </c>
      <c r="B21" s="137"/>
      <c r="C21" s="137"/>
      <c r="D21" s="137"/>
      <c r="E21" s="137"/>
      <c r="F21" s="139" t="s">
        <v>673</v>
      </c>
      <c r="G21" s="138"/>
      <c r="H21" s="137"/>
      <c r="I21" s="137"/>
      <c r="J21" s="137"/>
      <c r="K21" s="138"/>
      <c r="L21" s="138"/>
      <c r="M21" s="140"/>
      <c r="N21" s="138"/>
      <c r="P21" s="141"/>
      <c r="Q21" s="138"/>
      <c r="R21" s="138"/>
      <c r="T21" s="138"/>
      <c r="U21" s="138"/>
      <c r="V21" s="138"/>
      <c r="W21" s="138"/>
      <c r="X21" s="138"/>
      <c r="Y21" s="138"/>
      <c r="Z21" s="138"/>
      <c r="AA21" s="141"/>
      <c r="AB21" s="141"/>
      <c r="AC21" s="141"/>
      <c r="AD21" s="141"/>
      <c r="AE21" s="141"/>
      <c r="AF21" s="141"/>
      <c r="AG21" s="141"/>
      <c r="AH21" s="141"/>
      <c r="AI21" s="141"/>
      <c r="AJ21" s="141"/>
      <c r="AK21" s="141"/>
      <c r="AL21" s="141"/>
      <c r="AM21" s="141"/>
      <c r="AN21" s="141"/>
      <c r="AO21" s="141"/>
      <c r="AP21" s="141"/>
      <c r="AQ21" s="141"/>
      <c r="AR21" s="141"/>
      <c r="AS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X21" s="141"/>
      <c r="BY21" s="141"/>
      <c r="BZ21" s="141"/>
      <c r="CA21" s="141"/>
      <c r="CB21" s="141"/>
      <c r="CC21" s="141"/>
      <c r="CD21" s="141"/>
      <c r="CE21" s="141"/>
      <c r="CF21" s="141"/>
      <c r="CG21" s="141"/>
      <c r="CH21" s="141"/>
      <c r="CI21" s="141"/>
      <c r="CK21" s="141"/>
      <c r="CL21" s="141"/>
      <c r="CN21" s="141"/>
      <c r="CO21" s="141"/>
      <c r="CP21" s="141"/>
      <c r="CQ21" s="141"/>
      <c r="CR21" s="141"/>
      <c r="CS21" s="141"/>
      <c r="CT21" s="141"/>
      <c r="CU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GC21" s="140"/>
      <c r="GE21" s="140"/>
      <c r="GI21" s="140"/>
      <c r="GJ21" s="140"/>
      <c r="GK21" s="140"/>
      <c r="GM21" s="140"/>
      <c r="GN21" s="140"/>
      <c r="GO21" s="140"/>
      <c r="GP21" s="140"/>
      <c r="GQ21" s="140"/>
      <c r="GR21" s="140"/>
      <c r="GS21" s="140"/>
      <c r="GT21" s="140"/>
      <c r="GU21" s="140"/>
      <c r="GV21" s="140"/>
      <c r="GW21" s="140"/>
      <c r="GX21" s="140"/>
      <c r="GY21" s="140"/>
      <c r="GZ21" s="140"/>
      <c r="HA21" s="140"/>
      <c r="HB21" s="140"/>
    </row>
    <row r="22" spans="1:210" s="113" customFormat="1" x14ac:dyDescent="0.2">
      <c r="A22" s="109" t="s">
        <v>138</v>
      </c>
      <c r="B22" s="110"/>
      <c r="C22" s="110"/>
      <c r="D22" s="110"/>
      <c r="E22" s="110"/>
      <c r="F22" s="112"/>
      <c r="G22" s="111"/>
      <c r="H22" s="110"/>
      <c r="I22" s="110"/>
      <c r="J22" s="110"/>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row>
    <row r="23" spans="1:210" s="126" customFormat="1" ht="25.5" x14ac:dyDescent="0.2">
      <c r="A23" s="109" t="s">
        <v>139</v>
      </c>
      <c r="B23" s="123"/>
      <c r="C23" s="123"/>
      <c r="D23" s="123"/>
      <c r="E23" s="123"/>
      <c r="F23" s="125"/>
      <c r="G23" s="123"/>
      <c r="H23" s="123"/>
      <c r="I23" s="123"/>
      <c r="J23" s="123"/>
      <c r="K23" s="111"/>
      <c r="L23" s="124"/>
      <c r="M23" s="110"/>
      <c r="N23" s="124"/>
      <c r="O23" s="124"/>
      <c r="P23" s="124"/>
      <c r="Q23" s="123"/>
      <c r="R23" s="124"/>
      <c r="S23" s="123"/>
      <c r="T23" s="124"/>
      <c r="U23" s="124"/>
      <c r="V23" s="124"/>
      <c r="W23" s="124"/>
      <c r="X23" s="123"/>
      <c r="Y23" s="124"/>
      <c r="Z23" s="124"/>
      <c r="AA23" s="124"/>
      <c r="AB23" s="124"/>
      <c r="AC23" s="124"/>
      <c r="AD23" s="124"/>
      <c r="AE23" s="124"/>
      <c r="AF23" s="124"/>
      <c r="AG23" s="124"/>
      <c r="AH23" s="124"/>
      <c r="AI23" s="124"/>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row>
    <row r="24" spans="1:210" s="120" customFormat="1" ht="25.5" x14ac:dyDescent="0.2">
      <c r="A24" s="101" t="s">
        <v>140</v>
      </c>
      <c r="B24" s="117"/>
      <c r="C24" s="102"/>
      <c r="D24" s="102"/>
      <c r="E24" s="102"/>
      <c r="F24" s="119"/>
      <c r="G24" s="103"/>
      <c r="H24" s="102"/>
      <c r="I24" s="117"/>
      <c r="J24" s="117"/>
      <c r="K24" s="103"/>
      <c r="L24" s="118"/>
      <c r="M24" s="102"/>
      <c r="N24" s="118"/>
      <c r="O24" s="118"/>
      <c r="P24" s="118"/>
      <c r="Q24" s="103"/>
      <c r="R24" s="118"/>
      <c r="S24" s="102"/>
      <c r="T24" s="118"/>
      <c r="U24" s="118"/>
      <c r="V24" s="118"/>
      <c r="W24" s="118"/>
      <c r="X24" s="118"/>
      <c r="Y24" s="118"/>
      <c r="Z24" s="118"/>
      <c r="AA24" s="118"/>
      <c r="AB24" s="118"/>
      <c r="AC24" s="118"/>
      <c r="AD24" s="118"/>
      <c r="AE24" s="118"/>
      <c r="AF24" s="118"/>
      <c r="AG24" s="118"/>
      <c r="AH24" s="118"/>
      <c r="AI24" s="118"/>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row>
    <row r="25" spans="1:210" s="105" customFormat="1" x14ac:dyDescent="0.2">
      <c r="A25" s="101" t="s">
        <v>141</v>
      </c>
      <c r="B25" s="102"/>
      <c r="C25" s="102"/>
      <c r="D25" s="102"/>
      <c r="E25" s="102"/>
      <c r="F25" s="104"/>
      <c r="G25" s="102"/>
      <c r="H25" s="102"/>
      <c r="I25" s="102"/>
      <c r="J25" s="102"/>
      <c r="K25" s="103"/>
      <c r="L25" s="103"/>
      <c r="M25" s="102"/>
      <c r="N25" s="103"/>
      <c r="O25" s="103"/>
      <c r="P25" s="103"/>
      <c r="Q25" s="102"/>
      <c r="R25" s="103"/>
      <c r="S25" s="102"/>
      <c r="T25" s="103"/>
      <c r="U25" s="103"/>
      <c r="V25" s="103"/>
      <c r="W25" s="103"/>
      <c r="X25" s="103"/>
      <c r="Y25" s="103"/>
      <c r="Z25" s="103"/>
      <c r="AA25" s="103"/>
      <c r="AB25" s="103"/>
      <c r="AC25" s="103"/>
      <c r="AD25" s="103"/>
      <c r="AE25" s="103"/>
      <c r="AF25" s="103"/>
      <c r="AG25" s="103"/>
      <c r="AH25" s="103"/>
      <c r="AI25" s="103"/>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row>
    <row r="26" spans="1:210" s="113" customFormat="1" ht="103.5" customHeight="1" x14ac:dyDescent="0.2">
      <c r="A26" s="114" t="s">
        <v>142</v>
      </c>
      <c r="B26" s="110" t="s">
        <v>369</v>
      </c>
      <c r="C26" s="110" t="s">
        <v>668</v>
      </c>
      <c r="D26" s="110" t="s">
        <v>720</v>
      </c>
      <c r="E26" s="110" t="s">
        <v>630</v>
      </c>
      <c r="F26" s="142" t="s">
        <v>674</v>
      </c>
      <c r="G26" s="110" t="s">
        <v>697</v>
      </c>
      <c r="H26" s="110"/>
      <c r="I26" s="110"/>
      <c r="J26" s="110"/>
      <c r="K26" s="143"/>
      <c r="L26" s="110"/>
      <c r="M26" s="110"/>
      <c r="N26" s="110"/>
      <c r="O26" s="110"/>
      <c r="P26" s="110"/>
      <c r="Q26" s="110"/>
      <c r="R26" s="110"/>
      <c r="S26" s="110"/>
      <c r="T26" s="110"/>
      <c r="U26" s="110"/>
      <c r="V26" s="110"/>
      <c r="W26" s="110"/>
      <c r="X26" s="110"/>
      <c r="Y26" s="110"/>
      <c r="Z26" s="110"/>
      <c r="AA26" s="144"/>
      <c r="AB26" s="144"/>
      <c r="AC26" s="144"/>
      <c r="AD26" s="110"/>
      <c r="AE26" s="144"/>
      <c r="AF26" s="144"/>
      <c r="AG26" s="144"/>
      <c r="AH26" s="144"/>
      <c r="AI26" s="144"/>
      <c r="AJ26" s="114"/>
      <c r="AK26" s="145"/>
      <c r="AL26" s="145"/>
      <c r="AM26" s="145"/>
      <c r="AN26" s="145"/>
      <c r="AO26" s="145"/>
      <c r="AP26" s="145"/>
      <c r="AQ26" s="145"/>
      <c r="AR26" s="145"/>
      <c r="AS26" s="145"/>
      <c r="AU26" s="114"/>
      <c r="AV26" s="114"/>
      <c r="AW26" s="114"/>
      <c r="AX26" s="114"/>
      <c r="BL26" s="145"/>
      <c r="DS26" s="114"/>
      <c r="DT26" s="114"/>
      <c r="GC26" s="115"/>
      <c r="GD26" s="115"/>
      <c r="GE26" s="115"/>
      <c r="GF26" s="115"/>
      <c r="GG26" s="115"/>
      <c r="GH26" s="115"/>
      <c r="GI26" s="115"/>
      <c r="GJ26" s="115"/>
      <c r="GK26" s="116"/>
      <c r="GL26" s="115"/>
      <c r="GM26" s="115"/>
      <c r="GN26" s="115"/>
      <c r="GO26" s="115"/>
      <c r="GP26" s="115"/>
      <c r="GQ26" s="115"/>
      <c r="GR26" s="115"/>
      <c r="GS26" s="115"/>
      <c r="GT26" s="115"/>
      <c r="GU26" s="115"/>
      <c r="GV26" s="115"/>
      <c r="GW26" s="115"/>
      <c r="GX26" s="115"/>
      <c r="GY26" s="115"/>
      <c r="GZ26" s="115"/>
      <c r="HA26" s="146"/>
      <c r="HB26" s="146"/>
    </row>
    <row r="27" spans="1:210" s="113" customFormat="1" ht="76.5" x14ac:dyDescent="0.25">
      <c r="A27" s="109" t="s">
        <v>143</v>
      </c>
      <c r="B27" s="110" t="s">
        <v>370</v>
      </c>
      <c r="C27" s="110" t="s">
        <v>698</v>
      </c>
      <c r="D27" s="110"/>
      <c r="E27" s="110" t="s">
        <v>631</v>
      </c>
      <c r="F27" s="111"/>
      <c r="G27" s="112"/>
      <c r="H27" s="110"/>
      <c r="I27" s="110"/>
      <c r="J27" s="110"/>
      <c r="K27" s="111"/>
      <c r="L27" s="111"/>
      <c r="M27" s="111"/>
      <c r="N27" s="111"/>
      <c r="O27" s="111"/>
      <c r="P27" s="111"/>
      <c r="Q27" s="111"/>
      <c r="R27" s="111"/>
      <c r="S27" s="110"/>
      <c r="T27" s="111"/>
      <c r="U27" s="111"/>
      <c r="V27" s="111"/>
      <c r="W27" s="111"/>
      <c r="X27" s="110"/>
      <c r="Y27" s="111"/>
      <c r="Z27" s="111"/>
      <c r="AA27" s="111"/>
      <c r="AB27" s="111"/>
      <c r="AC27" s="111"/>
      <c r="AD27" s="111"/>
      <c r="AE27" s="111"/>
      <c r="AF27" s="111"/>
      <c r="AG27" s="111"/>
      <c r="AH27" s="111"/>
      <c r="AI27" s="111"/>
    </row>
    <row r="28" spans="1:210" s="147" customFormat="1" ht="12.75" customHeight="1" x14ac:dyDescent="0.25">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row>
    <row r="29" spans="1:210" s="147" customFormat="1" ht="12.75" customHeight="1" x14ac:dyDescent="0.2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row>
    <row r="30" spans="1:210" s="147" customFormat="1" ht="12.75" customHeight="1" x14ac:dyDescent="0.25">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row>
    <row r="31" spans="1:210" s="147" customFormat="1" ht="12.75" customHeight="1" x14ac:dyDescent="0.25">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1:210" s="147" customFormat="1" ht="12.75" customHeight="1" x14ac:dyDescent="0.25">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row>
    <row r="33" spans="2:35" s="147" customFormat="1" ht="12.75"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row>
    <row r="34" spans="2:35" s="147" customFormat="1" ht="12.7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row>
    <row r="35" spans="2:35" s="147" customFormat="1" ht="12.7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row>
    <row r="36" spans="2:35" s="147" customFormat="1" ht="12.7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row>
    <row r="37" spans="2:35" s="147" customFormat="1" ht="12.7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2:35" s="147" customFormat="1" ht="12.7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row>
    <row r="39" spans="2:35" s="147" customFormat="1" ht="12.7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row>
    <row r="40" spans="2:35" s="147" customFormat="1" ht="12.7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50" spans="1:35" ht="12.75" customHeight="1" x14ac:dyDescent="0.2">
      <c r="A50" s="149" t="s">
        <v>144</v>
      </c>
    </row>
    <row r="51" spans="1:35" s="152" customFormat="1" ht="12.75" customHeight="1" x14ac:dyDescent="0.25">
      <c r="B51" s="153" t="s">
        <v>145</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row>
    <row r="52" spans="1:35" ht="12.75" customHeight="1" x14ac:dyDescent="0.2">
      <c r="B52" s="154" t="s">
        <v>79</v>
      </c>
    </row>
    <row r="53" spans="1:35" ht="12.75" customHeight="1" x14ac:dyDescent="0.2">
      <c r="B53" s="155" t="s">
        <v>146</v>
      </c>
    </row>
    <row r="54" spans="1:35" ht="12.75" customHeight="1" x14ac:dyDescent="0.2">
      <c r="B54" s="155" t="s">
        <v>147</v>
      </c>
    </row>
    <row r="55" spans="1:35" ht="12.75" customHeight="1" x14ac:dyDescent="0.2">
      <c r="B55" s="155" t="s">
        <v>148</v>
      </c>
    </row>
    <row r="56" spans="1:35" ht="12.75" customHeight="1" x14ac:dyDescent="0.2">
      <c r="B56" s="155" t="s">
        <v>149</v>
      </c>
    </row>
    <row r="57" spans="1:35" ht="12.75" customHeight="1" x14ac:dyDescent="0.2">
      <c r="B57" s="155" t="s">
        <v>150</v>
      </c>
    </row>
    <row r="58" spans="1:35" ht="12.75" customHeight="1" x14ac:dyDescent="0.2">
      <c r="B58" s="155" t="s">
        <v>151</v>
      </c>
    </row>
    <row r="59" spans="1:35" ht="12.75" customHeight="1" x14ac:dyDescent="0.2">
      <c r="B59" s="155" t="s">
        <v>152</v>
      </c>
    </row>
    <row r="60" spans="1:35" ht="12.75" customHeight="1" x14ac:dyDescent="0.2">
      <c r="B60" s="155" t="s">
        <v>153</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9"/>
  <sheetViews>
    <sheetView showWhiteSpace="0" zoomScaleNormal="100" zoomScalePageLayoutView="85" workbookViewId="0">
      <selection activeCell="H13" sqref="H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74" t="s">
        <v>18</v>
      </c>
      <c r="B1" s="374"/>
      <c r="C1" s="374"/>
      <c r="D1" s="374"/>
      <c r="E1" s="374"/>
      <c r="F1" s="374"/>
      <c r="G1" s="374"/>
      <c r="H1" s="374"/>
      <c r="I1" s="374"/>
      <c r="J1" s="374"/>
      <c r="K1" s="37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6" t="s">
        <v>154</v>
      </c>
      <c r="C2" s="157"/>
      <c r="D2" s="157"/>
      <c r="E2" s="157"/>
      <c r="F2" s="157"/>
      <c r="G2" s="157"/>
      <c r="H2" s="157"/>
    </row>
    <row r="3" spans="1:39" s="155" customFormat="1" ht="40.5" customHeight="1" x14ac:dyDescent="0.2">
      <c r="B3" s="158" t="s">
        <v>155</v>
      </c>
      <c r="C3" s="159" t="s">
        <v>156</v>
      </c>
      <c r="D3" s="159" t="s">
        <v>157</v>
      </c>
      <c r="E3" s="159" t="s">
        <v>87</v>
      </c>
      <c r="F3" s="159" t="s">
        <v>158</v>
      </c>
      <c r="G3" s="159" t="s">
        <v>159</v>
      </c>
      <c r="H3" s="159" t="s">
        <v>160</v>
      </c>
      <c r="I3" s="160" t="s">
        <v>17</v>
      </c>
      <c r="J3" s="159" t="s">
        <v>161</v>
      </c>
      <c r="K3" s="159" t="s">
        <v>162</v>
      </c>
    </row>
    <row r="4" spans="1:39" s="155" customFormat="1" x14ac:dyDescent="0.2">
      <c r="B4" s="65" t="s">
        <v>371</v>
      </c>
      <c r="C4" s="49">
        <v>1</v>
      </c>
      <c r="D4" s="161">
        <v>3</v>
      </c>
      <c r="E4" s="161"/>
      <c r="F4" s="161"/>
      <c r="G4" s="161"/>
      <c r="H4" s="162"/>
      <c r="I4" s="163" t="str">
        <f t="shared" ref="I4:I7" si="0">IF(D4&lt;&gt;"",D4&amp;","&amp;E4&amp;","&amp;F4&amp;","&amp;G4&amp;","&amp;H4,"0,0,0,0,0")</f>
        <v>3,,,,</v>
      </c>
      <c r="J4" s="164" t="str">
        <f t="shared" ref="J4:J9" si="1">IF(MAX(D4:H4)&gt;=5, "Requirements not met", "Requirements met")</f>
        <v>Requirements met</v>
      </c>
      <c r="K4" s="165" t="str">
        <f t="shared" ref="K4:K9" si="2">IF(MAX(D4:H4)&gt;=5, "Not OK", "OK")</f>
        <v>OK</v>
      </c>
    </row>
    <row r="5" spans="1:39" s="155" customFormat="1" x14ac:dyDescent="0.2">
      <c r="B5" s="65" t="s">
        <v>405</v>
      </c>
      <c r="C5" s="49">
        <v>2</v>
      </c>
      <c r="D5" s="161"/>
      <c r="E5" s="161"/>
      <c r="F5" s="161"/>
      <c r="G5" s="161"/>
      <c r="H5" s="162"/>
      <c r="I5" s="163" t="str">
        <f t="shared" si="0"/>
        <v>0,0,0,0,0</v>
      </c>
      <c r="J5" s="164" t="str">
        <f t="shared" si="1"/>
        <v>Requirements met</v>
      </c>
      <c r="K5" s="165" t="str">
        <f t="shared" si="2"/>
        <v>OK</v>
      </c>
    </row>
    <row r="6" spans="1:39" s="155" customFormat="1" x14ac:dyDescent="0.2">
      <c r="B6" s="65" t="s">
        <v>721</v>
      </c>
      <c r="C6" s="49">
        <v>3</v>
      </c>
      <c r="D6" s="161"/>
      <c r="E6" s="161"/>
      <c r="F6" s="161"/>
      <c r="G6" s="161"/>
      <c r="H6" s="162"/>
      <c r="I6" s="163" t="str">
        <f t="shared" ref="I6" si="3">IF(D6&lt;&gt;"",D6&amp;","&amp;E6&amp;","&amp;F6&amp;","&amp;G6&amp;","&amp;H6,"0,0,0,0,0")</f>
        <v>0,0,0,0,0</v>
      </c>
      <c r="J6" s="164" t="str">
        <f t="shared" si="1"/>
        <v>Requirements met</v>
      </c>
      <c r="K6" s="165" t="str">
        <f t="shared" si="2"/>
        <v>OK</v>
      </c>
    </row>
    <row r="7" spans="1:39" s="155" customFormat="1" x14ac:dyDescent="0.2">
      <c r="B7" s="65" t="s">
        <v>678</v>
      </c>
      <c r="C7" s="49">
        <v>4</v>
      </c>
      <c r="D7" s="161">
        <v>1</v>
      </c>
      <c r="E7" s="161">
        <v>3</v>
      </c>
      <c r="F7" s="161">
        <v>3</v>
      </c>
      <c r="G7" s="161">
        <v>3</v>
      </c>
      <c r="H7" s="162">
        <v>2</v>
      </c>
      <c r="I7" s="163" t="str">
        <f t="shared" si="0"/>
        <v>1,3,3,3,2</v>
      </c>
      <c r="J7" s="164" t="str">
        <f t="shared" si="1"/>
        <v>Requirements met</v>
      </c>
      <c r="K7" s="165" t="str">
        <f t="shared" si="2"/>
        <v>OK</v>
      </c>
    </row>
    <row r="8" spans="1:39" s="155" customFormat="1" x14ac:dyDescent="0.2">
      <c r="B8" s="66" t="s">
        <v>679</v>
      </c>
      <c r="C8" s="297">
        <v>5</v>
      </c>
      <c r="D8" s="161"/>
      <c r="E8" s="161"/>
      <c r="F8" s="161"/>
      <c r="G8" s="161"/>
      <c r="H8" s="162"/>
      <c r="I8" s="163" t="str">
        <f>IF(D8&lt;&gt;"",D8&amp;","&amp;E8&amp;","&amp;F8&amp;","&amp;G8&amp;","&amp;H8,"0,0,0,0,0")</f>
        <v>0,0,0,0,0</v>
      </c>
      <c r="J8" s="164" t="str">
        <f t="shared" si="1"/>
        <v>Requirements met</v>
      </c>
      <c r="K8" s="165" t="str">
        <f t="shared" si="2"/>
        <v>OK</v>
      </c>
    </row>
    <row r="9" spans="1:39" s="155" customFormat="1" x14ac:dyDescent="0.2">
      <c r="B9" s="66" t="s">
        <v>691</v>
      </c>
      <c r="C9" s="49">
        <v>6</v>
      </c>
      <c r="D9" s="161">
        <v>1</v>
      </c>
      <c r="E9" s="161">
        <v>3</v>
      </c>
      <c r="F9" s="161">
        <v>4</v>
      </c>
      <c r="G9" s="161">
        <v>1</v>
      </c>
      <c r="H9" s="162">
        <v>1</v>
      </c>
      <c r="I9" s="163" t="str">
        <f>IF(D9&lt;&gt;"",D9&amp;","&amp;E9&amp;","&amp;F9&amp;","&amp;G9&amp;","&amp;H9,"0,0,0,0,0")</f>
        <v>1,3,4,1,1</v>
      </c>
      <c r="J9" s="164" t="str">
        <f t="shared" si="1"/>
        <v>Requirements met</v>
      </c>
      <c r="K9" s="165" t="str">
        <f t="shared" si="2"/>
        <v>OK</v>
      </c>
    </row>
    <row r="10" spans="1:39" s="155" customFormat="1" ht="12.75" customHeight="1" x14ac:dyDescent="0.2">
      <c r="B10" s="166" t="s">
        <v>73</v>
      </c>
      <c r="C10" s="167"/>
      <c r="D10" s="167"/>
      <c r="E10" s="167"/>
      <c r="F10" s="167"/>
      <c r="G10" s="167"/>
      <c r="H10" s="167"/>
      <c r="I10" s="168" t="str">
        <f>MAX(D4:D8)&amp;","&amp;MAX(E4:E8)&amp;","&amp;MAX(F4:F8)&amp;","&amp;MAX(G4:G8)&amp;","&amp;MAX(H4:H8)</f>
        <v>3,3,3,3,2</v>
      </c>
      <c r="J10" s="397"/>
      <c r="K10" s="397"/>
    </row>
    <row r="11" spans="1:39" ht="20.25" x14ac:dyDescent="0.3">
      <c r="B11" s="11"/>
      <c r="C11" s="11"/>
      <c r="D11" s="11"/>
      <c r="E11" s="11"/>
      <c r="F11" s="11"/>
      <c r="G11" s="11"/>
      <c r="H11" s="11"/>
      <c r="I11" s="80"/>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20.25" x14ac:dyDescent="0.3">
      <c r="A12" s="156" t="s">
        <v>163</v>
      </c>
      <c r="C12" s="11"/>
      <c r="D12" s="11"/>
      <c r="E12" s="11"/>
      <c r="F12" s="11"/>
      <c r="G12" s="11"/>
      <c r="H12" s="80"/>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9" s="170" customFormat="1" ht="13.5" thickBot="1" x14ac:dyDescent="0.25">
      <c r="A13" s="169" t="s">
        <v>164</v>
      </c>
    </row>
    <row r="14" spans="1:39" ht="17.25" customHeight="1" thickBot="1" x14ac:dyDescent="0.25">
      <c r="B14" s="398" t="s">
        <v>165</v>
      </c>
      <c r="C14" s="400" t="s">
        <v>166</v>
      </c>
      <c r="D14" s="401"/>
      <c r="E14" s="401"/>
      <c r="F14" s="401"/>
      <c r="G14" s="402"/>
    </row>
    <row r="15" spans="1:39" ht="13.5" thickBot="1" x14ac:dyDescent="0.25">
      <c r="B15" s="399"/>
      <c r="C15" s="171">
        <v>1</v>
      </c>
      <c r="D15" s="171">
        <v>2</v>
      </c>
      <c r="E15" s="171">
        <v>3</v>
      </c>
      <c r="F15" s="171">
        <v>4</v>
      </c>
      <c r="G15" s="171">
        <v>5</v>
      </c>
    </row>
    <row r="16" spans="1:39" ht="72.75" thickBot="1" x14ac:dyDescent="0.25">
      <c r="B16" s="403" t="s">
        <v>167</v>
      </c>
      <c r="C16" s="172" t="s">
        <v>168</v>
      </c>
      <c r="D16" s="172" t="s">
        <v>169</v>
      </c>
      <c r="E16" s="172" t="s">
        <v>170</v>
      </c>
      <c r="F16" s="172" t="s">
        <v>171</v>
      </c>
      <c r="G16" s="172" t="s">
        <v>172</v>
      </c>
    </row>
    <row r="17" spans="1:18" ht="24" customHeight="1" thickBot="1" x14ac:dyDescent="0.25">
      <c r="B17" s="404"/>
      <c r="C17" s="406" t="s">
        <v>173</v>
      </c>
      <c r="D17" s="407"/>
      <c r="E17" s="406" t="s">
        <v>174</v>
      </c>
      <c r="F17" s="408"/>
      <c r="G17" s="407"/>
    </row>
    <row r="18" spans="1:18" ht="36.75" thickBot="1" x14ac:dyDescent="0.25">
      <c r="B18" s="405"/>
      <c r="C18" s="173" t="s">
        <v>175</v>
      </c>
      <c r="D18" s="409" t="s">
        <v>176</v>
      </c>
      <c r="E18" s="410"/>
      <c r="F18" s="411" t="s">
        <v>177</v>
      </c>
      <c r="G18" s="412"/>
    </row>
    <row r="19" spans="1:18" ht="60.75" thickBot="1" x14ac:dyDescent="0.25">
      <c r="B19" s="174" t="s">
        <v>87</v>
      </c>
      <c r="C19" s="172" t="s">
        <v>178</v>
      </c>
      <c r="D19" s="172" t="s">
        <v>179</v>
      </c>
      <c r="E19" s="172" t="s">
        <v>180</v>
      </c>
      <c r="F19" s="172" t="s">
        <v>181</v>
      </c>
      <c r="G19" s="172" t="s">
        <v>182</v>
      </c>
    </row>
    <row r="20" spans="1:18" ht="44.25" customHeight="1" thickBot="1" x14ac:dyDescent="0.25">
      <c r="B20" s="174" t="s">
        <v>158</v>
      </c>
      <c r="C20" s="172" t="s">
        <v>183</v>
      </c>
      <c r="D20" s="172" t="s">
        <v>184</v>
      </c>
      <c r="E20" s="172" t="s">
        <v>185</v>
      </c>
      <c r="F20" s="172" t="s">
        <v>186</v>
      </c>
      <c r="G20" s="172" t="s">
        <v>187</v>
      </c>
    </row>
    <row r="21" spans="1:18" ht="44.25" customHeight="1" thickBot="1" x14ac:dyDescent="0.25">
      <c r="B21" s="174" t="s">
        <v>159</v>
      </c>
      <c r="C21" s="172" t="s">
        <v>188</v>
      </c>
      <c r="D21" s="172" t="s">
        <v>189</v>
      </c>
      <c r="E21" s="172" t="s">
        <v>190</v>
      </c>
      <c r="F21" s="172" t="s">
        <v>191</v>
      </c>
      <c r="G21" s="172" t="s">
        <v>192</v>
      </c>
    </row>
    <row r="22" spans="1:18" ht="44.25" customHeight="1" thickBot="1" x14ac:dyDescent="0.25">
      <c r="B22" s="174" t="s">
        <v>193</v>
      </c>
      <c r="C22" s="172" t="s">
        <v>194</v>
      </c>
      <c r="D22" s="406" t="s">
        <v>195</v>
      </c>
      <c r="E22" s="407"/>
      <c r="F22" s="172" t="s">
        <v>196</v>
      </c>
      <c r="G22" s="172" t="s">
        <v>197</v>
      </c>
    </row>
    <row r="23" spans="1:18" x14ac:dyDescent="0.2">
      <c r="B23" s="175"/>
      <c r="C23" s="176"/>
      <c r="D23" s="176"/>
      <c r="E23" s="176"/>
      <c r="F23" s="176"/>
      <c r="G23" s="176"/>
    </row>
    <row r="24" spans="1:18" customFormat="1" ht="15" x14ac:dyDescent="0.25">
      <c r="A24" s="177" t="s">
        <v>198</v>
      </c>
      <c r="C24" s="178"/>
      <c r="D24" s="178"/>
      <c r="E24" s="178"/>
      <c r="F24" s="178"/>
      <c r="G24" s="178"/>
      <c r="H24" s="178"/>
      <c r="I24" s="178"/>
      <c r="J24" s="178"/>
      <c r="K24" s="178"/>
      <c r="L24" s="178"/>
      <c r="M24" s="178"/>
      <c r="N24" s="178"/>
      <c r="O24" s="178"/>
      <c r="P24" s="178"/>
      <c r="Q24" s="178"/>
      <c r="R24" s="178"/>
    </row>
    <row r="25" spans="1:18" customFormat="1" ht="15" x14ac:dyDescent="0.25">
      <c r="B25" s="179" t="s">
        <v>199</v>
      </c>
      <c r="C25" s="180"/>
      <c r="D25" s="180"/>
      <c r="E25" s="180"/>
      <c r="F25" s="180"/>
      <c r="G25" s="180"/>
      <c r="H25" s="181"/>
      <c r="I25" s="178"/>
      <c r="J25" s="178"/>
      <c r="K25" s="178"/>
      <c r="L25" s="178"/>
      <c r="M25" s="178"/>
      <c r="N25" s="178"/>
      <c r="O25" s="178"/>
      <c r="P25" s="178"/>
      <c r="Q25" s="178"/>
      <c r="R25" s="178"/>
    </row>
    <row r="26" spans="1:18" customFormat="1" ht="65.25" customHeight="1" x14ac:dyDescent="0.25">
      <c r="B26" s="182"/>
      <c r="C26" s="378" t="s">
        <v>200</v>
      </c>
      <c r="D26" s="379"/>
      <c r="E26" s="379"/>
      <c r="F26" s="379"/>
      <c r="G26" s="379"/>
      <c r="H26" s="380"/>
      <c r="N26" s="183"/>
      <c r="O26" s="183"/>
      <c r="P26" s="183"/>
      <c r="Q26" s="183"/>
      <c r="R26" s="183"/>
    </row>
    <row r="27" spans="1:18" customFormat="1" ht="15" x14ac:dyDescent="0.25">
      <c r="B27" s="182"/>
      <c r="C27" s="184" t="s">
        <v>201</v>
      </c>
      <c r="D27" s="185"/>
      <c r="E27" s="185"/>
      <c r="F27" s="185"/>
      <c r="G27" s="185"/>
      <c r="H27" s="186"/>
      <c r="I27" s="178"/>
      <c r="J27" s="178"/>
      <c r="K27" s="178"/>
      <c r="L27" s="178"/>
      <c r="M27" s="178"/>
      <c r="N27" s="178"/>
      <c r="O27" s="178"/>
      <c r="P27" s="178"/>
      <c r="Q27" s="178"/>
      <c r="R27" s="178"/>
    </row>
    <row r="28" spans="1:18" customFormat="1" ht="15" x14ac:dyDescent="0.25">
      <c r="B28" s="182"/>
      <c r="C28" s="187" t="s">
        <v>202</v>
      </c>
      <c r="D28" s="188"/>
      <c r="E28" s="188"/>
      <c r="F28" s="188"/>
      <c r="G28" s="188"/>
      <c r="H28" s="189"/>
      <c r="I28" s="178"/>
      <c r="J28" s="178"/>
      <c r="K28" s="178"/>
      <c r="L28" s="178"/>
      <c r="M28" s="178"/>
      <c r="N28" s="178"/>
      <c r="O28" s="178"/>
      <c r="P28" s="178"/>
      <c r="Q28" s="178"/>
      <c r="R28" s="178"/>
    </row>
    <row r="29" spans="1:18" customFormat="1" ht="15" x14ac:dyDescent="0.25">
      <c r="B29" s="182"/>
      <c r="C29" s="187" t="s">
        <v>203</v>
      </c>
      <c r="D29" s="188"/>
      <c r="E29" s="188"/>
      <c r="F29" s="188"/>
      <c r="G29" s="188"/>
      <c r="H29" s="189"/>
      <c r="I29" s="178"/>
      <c r="J29" s="178"/>
      <c r="K29" s="178"/>
      <c r="L29" s="178"/>
      <c r="M29" s="178"/>
      <c r="N29" s="178"/>
      <c r="O29" s="178"/>
      <c r="P29" s="178"/>
      <c r="Q29" s="178"/>
      <c r="R29" s="178"/>
    </row>
    <row r="30" spans="1:18" customFormat="1" ht="15" x14ac:dyDescent="0.25">
      <c r="B30" s="182"/>
      <c r="C30" s="187" t="s">
        <v>204</v>
      </c>
      <c r="D30" s="188"/>
      <c r="E30" s="188"/>
      <c r="F30" s="188"/>
      <c r="G30" s="188"/>
      <c r="H30" s="189"/>
      <c r="I30" s="178"/>
      <c r="J30" s="178"/>
      <c r="K30" s="178"/>
      <c r="L30" s="178"/>
      <c r="M30" s="178"/>
      <c r="N30" s="178"/>
      <c r="O30" s="178"/>
      <c r="P30" s="178"/>
      <c r="Q30" s="178"/>
      <c r="R30" s="178"/>
    </row>
    <row r="31" spans="1:18" customFormat="1" ht="15" x14ac:dyDescent="0.25">
      <c r="B31" s="182"/>
      <c r="C31" s="187" t="s">
        <v>205</v>
      </c>
      <c r="D31" s="188"/>
      <c r="E31" s="188"/>
      <c r="F31" s="188"/>
      <c r="G31" s="188"/>
      <c r="H31" s="189"/>
      <c r="I31" s="178"/>
      <c r="J31" s="178"/>
      <c r="K31" s="178"/>
      <c r="L31" s="178"/>
      <c r="M31" s="178"/>
      <c r="N31" s="178"/>
      <c r="O31" s="178"/>
      <c r="P31" s="178"/>
      <c r="Q31" s="178"/>
      <c r="R31" s="178"/>
    </row>
    <row r="32" spans="1:18" customFormat="1" ht="41.25" customHeight="1" x14ac:dyDescent="0.25">
      <c r="B32" s="182"/>
      <c r="C32" s="394" t="s">
        <v>206</v>
      </c>
      <c r="D32" s="395"/>
      <c r="E32" s="395"/>
      <c r="F32" s="395"/>
      <c r="G32" s="395"/>
      <c r="H32" s="396"/>
      <c r="N32" s="190"/>
      <c r="O32" s="190"/>
      <c r="P32" s="190"/>
      <c r="Q32" s="178"/>
      <c r="R32" s="178"/>
    </row>
    <row r="33" spans="1:18" customFormat="1" ht="38.25" customHeight="1" x14ac:dyDescent="0.25">
      <c r="B33" s="191"/>
      <c r="C33" s="378" t="s">
        <v>207</v>
      </c>
      <c r="D33" s="379"/>
      <c r="E33" s="379"/>
      <c r="F33" s="379"/>
      <c r="G33" s="379"/>
      <c r="H33" s="380"/>
      <c r="N33" s="183"/>
      <c r="O33" s="183"/>
      <c r="P33" s="183"/>
      <c r="Q33" s="183"/>
      <c r="R33" s="178"/>
    </row>
    <row r="34" spans="1:18" customFormat="1" ht="43.5" customHeight="1" x14ac:dyDescent="0.25">
      <c r="B34" s="378" t="s">
        <v>208</v>
      </c>
      <c r="C34" s="379"/>
      <c r="D34" s="379"/>
      <c r="E34" s="379"/>
      <c r="F34" s="379"/>
      <c r="G34" s="379"/>
      <c r="H34" s="380"/>
      <c r="I34" s="178"/>
      <c r="J34" s="178"/>
      <c r="K34" s="178"/>
      <c r="L34" s="178"/>
      <c r="M34" s="178"/>
      <c r="N34" s="178"/>
      <c r="O34" s="178"/>
      <c r="P34" s="178"/>
      <c r="Q34" s="178"/>
      <c r="R34" s="178"/>
    </row>
    <row r="35" spans="1:18" customFormat="1" ht="49.5" customHeight="1" x14ac:dyDescent="0.25">
      <c r="B35" s="378" t="s">
        <v>209</v>
      </c>
      <c r="C35" s="379"/>
      <c r="D35" s="379"/>
      <c r="E35" s="379"/>
      <c r="F35" s="379"/>
      <c r="G35" s="379"/>
      <c r="H35" s="380"/>
      <c r="I35" s="192"/>
    </row>
    <row r="36" spans="1:18" customFormat="1" ht="46.5" customHeight="1" x14ac:dyDescent="0.25">
      <c r="B36" s="378" t="s">
        <v>210</v>
      </c>
      <c r="C36" s="379"/>
      <c r="D36" s="379"/>
      <c r="E36" s="379"/>
      <c r="F36" s="379"/>
      <c r="G36" s="379"/>
      <c r="H36" s="380"/>
      <c r="I36" s="192"/>
    </row>
    <row r="37" spans="1:18" customFormat="1" ht="30" customHeight="1" x14ac:dyDescent="0.25">
      <c r="B37" s="378" t="s">
        <v>211</v>
      </c>
      <c r="C37" s="379"/>
      <c r="D37" s="379"/>
      <c r="E37" s="379"/>
      <c r="F37" s="379"/>
      <c r="G37" s="379"/>
      <c r="H37" s="380"/>
      <c r="I37" s="192"/>
    </row>
    <row r="38" spans="1:18" customFormat="1" ht="15" customHeight="1" x14ac:dyDescent="0.25">
      <c r="A38" s="193" t="s">
        <v>212</v>
      </c>
      <c r="B38" s="193"/>
      <c r="I38" s="194"/>
    </row>
    <row r="39" spans="1:18" customFormat="1" ht="30" customHeight="1" x14ac:dyDescent="0.25">
      <c r="B39" s="381" t="s">
        <v>213</v>
      </c>
      <c r="C39" s="382"/>
      <c r="D39" s="382"/>
      <c r="E39" s="382"/>
      <c r="F39" s="382"/>
      <c r="G39" s="382"/>
      <c r="H39" s="383"/>
    </row>
    <row r="40" spans="1:18" customFormat="1" ht="12.75" customHeight="1" x14ac:dyDescent="0.25">
      <c r="B40" s="384" t="s">
        <v>214</v>
      </c>
      <c r="C40" s="385"/>
      <c r="D40" s="385"/>
      <c r="E40" s="385"/>
      <c r="F40" s="385"/>
      <c r="G40" s="195"/>
      <c r="H40" s="196"/>
    </row>
    <row r="41" spans="1:18" customFormat="1" ht="29.25" customHeight="1" x14ac:dyDescent="0.25">
      <c r="B41" s="386" t="s">
        <v>215</v>
      </c>
      <c r="C41" s="387"/>
      <c r="D41" s="387"/>
      <c r="E41" s="387"/>
      <c r="F41" s="387"/>
      <c r="G41" s="387"/>
      <c r="H41" s="388"/>
    </row>
    <row r="42" spans="1:18" customFormat="1" ht="15" customHeight="1" x14ac:dyDescent="0.25">
      <c r="B42" s="197" t="s">
        <v>216</v>
      </c>
      <c r="C42" s="195"/>
      <c r="D42" s="195"/>
      <c r="E42" s="195"/>
      <c r="F42" s="195"/>
      <c r="G42" s="195"/>
      <c r="H42" s="196"/>
    </row>
    <row r="43" spans="1:18" customFormat="1" ht="30.75" customHeight="1" x14ac:dyDescent="0.25">
      <c r="B43" s="386" t="s">
        <v>217</v>
      </c>
      <c r="C43" s="387"/>
      <c r="D43" s="387"/>
      <c r="E43" s="387"/>
      <c r="F43" s="387"/>
      <c r="G43" s="387"/>
      <c r="H43" s="388"/>
    </row>
    <row r="44" spans="1:18" customFormat="1" ht="12.75" customHeight="1" x14ac:dyDescent="0.25">
      <c r="B44" s="389" t="s">
        <v>218</v>
      </c>
      <c r="C44" s="390"/>
      <c r="D44" s="390"/>
      <c r="E44" s="390"/>
      <c r="F44" s="390"/>
      <c r="G44" s="390"/>
      <c r="H44" s="196"/>
    </row>
    <row r="45" spans="1:18" customFormat="1" ht="35.25" customHeight="1" x14ac:dyDescent="0.25">
      <c r="B45" s="386" t="s">
        <v>219</v>
      </c>
      <c r="C45" s="387"/>
      <c r="D45" s="387"/>
      <c r="E45" s="387"/>
      <c r="F45" s="387"/>
      <c r="G45" s="387"/>
      <c r="H45" s="388"/>
    </row>
    <row r="46" spans="1:18" customFormat="1" ht="24.75" customHeight="1" x14ac:dyDescent="0.25">
      <c r="B46" s="391" t="s">
        <v>220</v>
      </c>
      <c r="C46" s="392"/>
      <c r="D46" s="392"/>
      <c r="E46" s="392"/>
      <c r="F46" s="392"/>
      <c r="G46" s="392"/>
      <c r="H46" s="393"/>
    </row>
    <row r="47" spans="1:18" customFormat="1" ht="27.75" customHeight="1" x14ac:dyDescent="0.25">
      <c r="B47" s="394" t="s">
        <v>221</v>
      </c>
      <c r="C47" s="395"/>
      <c r="D47" s="395"/>
      <c r="E47" s="395"/>
      <c r="F47" s="395"/>
      <c r="G47" s="395"/>
      <c r="H47" s="396"/>
    </row>
    <row r="48" spans="1:18" customFormat="1" ht="21" customHeight="1" x14ac:dyDescent="0.25">
      <c r="B48" s="378" t="s">
        <v>222</v>
      </c>
      <c r="C48" s="379"/>
      <c r="D48" s="379"/>
      <c r="E48" s="379"/>
      <c r="F48" s="379"/>
      <c r="G48" s="379"/>
      <c r="H48" s="380"/>
    </row>
    <row r="49" spans="2:8" customFormat="1" ht="26.25" customHeight="1" x14ac:dyDescent="0.25">
      <c r="B49" s="377" t="s">
        <v>223</v>
      </c>
      <c r="C49" s="377"/>
      <c r="D49" s="377"/>
      <c r="E49" s="377"/>
      <c r="F49" s="377"/>
      <c r="G49" s="377"/>
      <c r="H49" s="377"/>
    </row>
  </sheetData>
  <mergeCells count="27">
    <mergeCell ref="B35:H35"/>
    <mergeCell ref="A1:K1"/>
    <mergeCell ref="J10:K10"/>
    <mergeCell ref="B14:B15"/>
    <mergeCell ref="C14:G14"/>
    <mergeCell ref="B16:B18"/>
    <mergeCell ref="C17:D17"/>
    <mergeCell ref="E17:G17"/>
    <mergeCell ref="D18:E18"/>
    <mergeCell ref="F18:G18"/>
    <mergeCell ref="D22:E22"/>
    <mergeCell ref="C26:H26"/>
    <mergeCell ref="C32:H32"/>
    <mergeCell ref="C33:H33"/>
    <mergeCell ref="B34:H34"/>
    <mergeCell ref="B49:H49"/>
    <mergeCell ref="B36:H36"/>
    <mergeCell ref="B37:H37"/>
    <mergeCell ref="B39:H39"/>
    <mergeCell ref="B40:F40"/>
    <mergeCell ref="B41:H41"/>
    <mergeCell ref="B43:H43"/>
    <mergeCell ref="B44:G44"/>
    <mergeCell ref="B45:H45"/>
    <mergeCell ref="B46:H46"/>
    <mergeCell ref="B47:H47"/>
    <mergeCell ref="B48:H48"/>
  </mergeCells>
  <conditionalFormatting sqref="J4:K4">
    <cfRule type="expression" dxfId="6" priority="8">
      <formula>MAX(D4:H4)&gt;=5</formula>
    </cfRule>
  </conditionalFormatting>
  <conditionalFormatting sqref="J5:K5">
    <cfRule type="expression" dxfId="5" priority="7">
      <formula>MAX(D5:H5)&gt;=5</formula>
    </cfRule>
  </conditionalFormatting>
  <conditionalFormatting sqref="J7:K7">
    <cfRule type="expression" dxfId="4" priority="6">
      <formula>MAX(D7:H7)&gt;=5</formula>
    </cfRule>
  </conditionalFormatting>
  <conditionalFormatting sqref="J8:K8">
    <cfRule type="expression" dxfId="3" priority="5">
      <formula>MAX(D8:H8)&gt;=5</formula>
    </cfRule>
  </conditionalFormatting>
  <conditionalFormatting sqref="I10">
    <cfRule type="expression" dxfId="2" priority="4">
      <formula>MAX($D$4:$H$8)&gt;=5</formula>
    </cfRule>
  </conditionalFormatting>
  <conditionalFormatting sqref="J9:K9">
    <cfRule type="expression" dxfId="1" priority="3">
      <formula>MAX(D9:H9)&gt;=5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9"/>
  <sheetViews>
    <sheetView zoomScaleNormal="100" workbookViewId="0">
      <selection activeCell="I18" sqref="I18"/>
    </sheetView>
  </sheetViews>
  <sheetFormatPr defaultRowHeight="15" x14ac:dyDescent="0.25"/>
  <cols>
    <col min="1" max="1" width="25.85546875" style="214" customWidth="1"/>
    <col min="2" max="3" width="11" style="214" customWidth="1"/>
    <col min="4" max="4" width="22.85546875" style="214" customWidth="1"/>
    <col min="5" max="6" width="11" style="214" customWidth="1"/>
    <col min="7" max="8" width="9.140625" style="214" customWidth="1"/>
    <col min="9" max="9" width="19" style="21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80" t="s">
        <v>19</v>
      </c>
      <c r="I1" s="198"/>
    </row>
    <row r="2" spans="1:9" s="204" customFormat="1" ht="18" customHeight="1" x14ac:dyDescent="0.25">
      <c r="A2" s="199" t="s">
        <v>19</v>
      </c>
      <c r="B2" s="200" t="s">
        <v>224</v>
      </c>
      <c r="C2" s="201"/>
      <c r="D2" s="202"/>
      <c r="E2" s="202"/>
      <c r="F2" s="202"/>
      <c r="G2" s="202"/>
      <c r="H2" s="202"/>
      <c r="I2" s="203" t="s">
        <v>64</v>
      </c>
    </row>
    <row r="3" spans="1:9" s="204" customFormat="1" x14ac:dyDescent="0.2">
      <c r="A3" s="205" t="s">
        <v>225</v>
      </c>
      <c r="C3" s="206"/>
      <c r="I3" s="207"/>
    </row>
    <row r="4" spans="1:9" s="204" customFormat="1" ht="12.75" x14ac:dyDescent="0.2">
      <c r="A4" s="208" t="s">
        <v>226</v>
      </c>
      <c r="B4" s="208" t="s">
        <v>60</v>
      </c>
      <c r="C4" s="208" t="s">
        <v>72</v>
      </c>
      <c r="D4" s="208" t="s">
        <v>227</v>
      </c>
      <c r="E4" s="209" t="s">
        <v>22</v>
      </c>
      <c r="F4" s="210"/>
      <c r="G4" s="210"/>
      <c r="H4" s="210"/>
      <c r="I4" s="211"/>
    </row>
    <row r="5" spans="1:9" x14ac:dyDescent="0.25">
      <c r="A5" s="246" t="s">
        <v>403</v>
      </c>
      <c r="B5" s="246"/>
      <c r="D5"/>
      <c r="E5"/>
      <c r="F5"/>
      <c r="G5"/>
      <c r="H5"/>
    </row>
    <row r="6" spans="1:9" x14ac:dyDescent="0.25">
      <c r="A6" s="213" t="s">
        <v>404</v>
      </c>
      <c r="B6" s="213"/>
      <c r="C6"/>
    </row>
    <row r="7" spans="1:9" x14ac:dyDescent="0.25">
      <c r="A7" s="247" t="s">
        <v>405</v>
      </c>
      <c r="B7" s="244">
        <v>30</v>
      </c>
      <c r="C7" s="214" t="s">
        <v>448</v>
      </c>
      <c r="I7" s="212" t="s">
        <v>451</v>
      </c>
    </row>
    <row r="8" spans="1:9" x14ac:dyDescent="0.25">
      <c r="A8" s="247" t="s">
        <v>406</v>
      </c>
      <c r="B8" s="214">
        <f>141.5/(B7+131.5)</f>
        <v>0.87616099071207432</v>
      </c>
      <c r="I8" s="212" t="s">
        <v>451</v>
      </c>
    </row>
    <row r="10" spans="1:9" x14ac:dyDescent="0.25">
      <c r="A10" s="213" t="s">
        <v>230</v>
      </c>
    </row>
    <row r="11" spans="1:9" x14ac:dyDescent="0.25">
      <c r="A11" s="247" t="s">
        <v>374</v>
      </c>
      <c r="B11" s="244">
        <v>0.14000000000000001</v>
      </c>
      <c r="D11" s="214" t="s">
        <v>375</v>
      </c>
    </row>
    <row r="12" spans="1:9" x14ac:dyDescent="0.25">
      <c r="A12" s="247" t="s">
        <v>382</v>
      </c>
      <c r="B12" s="244">
        <v>90</v>
      </c>
      <c r="C12" s="214" t="s">
        <v>231</v>
      </c>
      <c r="I12" s="212" t="s">
        <v>711</v>
      </c>
    </row>
    <row r="13" spans="1:9" x14ac:dyDescent="0.25">
      <c r="A13" s="247" t="s">
        <v>385</v>
      </c>
      <c r="B13" s="244">
        <v>165</v>
      </c>
      <c r="C13" s="214" t="s">
        <v>231</v>
      </c>
      <c r="I13" s="212" t="s">
        <v>711</v>
      </c>
    </row>
    <row r="14" spans="1:9" x14ac:dyDescent="0.25">
      <c r="A14" s="247" t="s">
        <v>383</v>
      </c>
      <c r="B14" s="244">
        <v>150</v>
      </c>
      <c r="C14" s="214" t="s">
        <v>232</v>
      </c>
      <c r="I14" s="212" t="s">
        <v>711</v>
      </c>
    </row>
    <row r="15" spans="1:9" x14ac:dyDescent="0.25">
      <c r="A15" s="247" t="s">
        <v>376</v>
      </c>
      <c r="B15" s="244">
        <v>350</v>
      </c>
      <c r="C15" s="214" t="s">
        <v>232</v>
      </c>
      <c r="I15" s="212" t="s">
        <v>711</v>
      </c>
    </row>
    <row r="16" spans="1:9" x14ac:dyDescent="0.25">
      <c r="A16" s="247" t="s">
        <v>384</v>
      </c>
      <c r="B16" s="244">
        <v>0.02</v>
      </c>
      <c r="I16" s="212" t="s">
        <v>711</v>
      </c>
    </row>
    <row r="17" spans="1:9" x14ac:dyDescent="0.25">
      <c r="A17" s="247" t="s">
        <v>345</v>
      </c>
      <c r="B17" s="244">
        <v>1500</v>
      </c>
      <c r="C17" s="214" t="s">
        <v>346</v>
      </c>
      <c r="I17" s="212" t="s">
        <v>451</v>
      </c>
    </row>
    <row r="18" spans="1:9" x14ac:dyDescent="0.25">
      <c r="A18" s="247" t="s">
        <v>233</v>
      </c>
      <c r="B18" s="244">
        <f>1/0.8</f>
        <v>1.25</v>
      </c>
      <c r="C18" s="214" t="s">
        <v>234</v>
      </c>
      <c r="I18" s="212" t="s">
        <v>712</v>
      </c>
    </row>
    <row r="19" spans="1:9" x14ac:dyDescent="0.25">
      <c r="A19" s="214" t="s">
        <v>681</v>
      </c>
      <c r="B19" s="245">
        <f>(1/0.98)/Conversions!E41*1000</f>
        <v>299.05045351473922</v>
      </c>
      <c r="C19" s="214" t="s">
        <v>344</v>
      </c>
      <c r="I19" s="212" t="s">
        <v>712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70"/>
  <sheetViews>
    <sheetView workbookViewId="0">
      <selection activeCell="H18" sqref="H18"/>
    </sheetView>
  </sheetViews>
  <sheetFormatPr defaultColWidth="9.140625" defaultRowHeight="12.75" x14ac:dyDescent="0.2"/>
  <cols>
    <col min="1" max="3" width="9.140625" style="214"/>
    <col min="4" max="4" width="13.42578125" style="214" bestFit="1" customWidth="1"/>
    <col min="5" max="5" width="16.42578125" style="214" bestFit="1" customWidth="1"/>
    <col min="6" max="6" width="23.42578125" style="214" customWidth="1"/>
    <col min="7" max="7" width="11" style="214" bestFit="1" customWidth="1"/>
    <col min="8" max="259" width="9.140625" style="214"/>
    <col min="260" max="260" width="13.42578125" style="214" bestFit="1" customWidth="1"/>
    <col min="261" max="261" width="16.42578125" style="214" bestFit="1" customWidth="1"/>
    <col min="262" max="262" width="23.42578125" style="214" customWidth="1"/>
    <col min="263" max="263" width="11" style="214" bestFit="1" customWidth="1"/>
    <col min="264" max="515" width="9.140625" style="214"/>
    <col min="516" max="516" width="13.42578125" style="214" bestFit="1" customWidth="1"/>
    <col min="517" max="517" width="16.42578125" style="214" bestFit="1" customWidth="1"/>
    <col min="518" max="518" width="23.42578125" style="214" customWidth="1"/>
    <col min="519" max="519" width="11" style="214" bestFit="1" customWidth="1"/>
    <col min="520" max="771" width="9.140625" style="214"/>
    <col min="772" max="772" width="13.42578125" style="214" bestFit="1" customWidth="1"/>
    <col min="773" max="773" width="16.42578125" style="214" bestFit="1" customWidth="1"/>
    <col min="774" max="774" width="23.42578125" style="214" customWidth="1"/>
    <col min="775" max="775" width="11" style="214" bestFit="1" customWidth="1"/>
    <col min="776" max="1027" width="9.140625" style="214"/>
    <col min="1028" max="1028" width="13.42578125" style="214" bestFit="1" customWidth="1"/>
    <col min="1029" max="1029" width="16.42578125" style="214" bestFit="1" customWidth="1"/>
    <col min="1030" max="1030" width="23.42578125" style="214" customWidth="1"/>
    <col min="1031" max="1031" width="11" style="214" bestFit="1" customWidth="1"/>
    <col min="1032" max="1283" width="9.140625" style="214"/>
    <col min="1284" max="1284" width="13.42578125" style="214" bestFit="1" customWidth="1"/>
    <col min="1285" max="1285" width="16.42578125" style="214" bestFit="1" customWidth="1"/>
    <col min="1286" max="1286" width="23.42578125" style="214" customWidth="1"/>
    <col min="1287" max="1287" width="11" style="214" bestFit="1" customWidth="1"/>
    <col min="1288" max="1539" width="9.140625" style="214"/>
    <col min="1540" max="1540" width="13.42578125" style="214" bestFit="1" customWidth="1"/>
    <col min="1541" max="1541" width="16.42578125" style="214" bestFit="1" customWidth="1"/>
    <col min="1542" max="1542" width="23.42578125" style="214" customWidth="1"/>
    <col min="1543" max="1543" width="11" style="214" bestFit="1" customWidth="1"/>
    <col min="1544" max="1795" width="9.140625" style="214"/>
    <col min="1796" max="1796" width="13.42578125" style="214" bestFit="1" customWidth="1"/>
    <col min="1797" max="1797" width="16.42578125" style="214" bestFit="1" customWidth="1"/>
    <col min="1798" max="1798" width="23.42578125" style="214" customWidth="1"/>
    <col min="1799" max="1799" width="11" style="214" bestFit="1" customWidth="1"/>
    <col min="1800" max="2051" width="9.140625" style="214"/>
    <col min="2052" max="2052" width="13.42578125" style="214" bestFit="1" customWidth="1"/>
    <col min="2053" max="2053" width="16.42578125" style="214" bestFit="1" customWidth="1"/>
    <col min="2054" max="2054" width="23.42578125" style="214" customWidth="1"/>
    <col min="2055" max="2055" width="11" style="214" bestFit="1" customWidth="1"/>
    <col min="2056" max="2307" width="9.140625" style="214"/>
    <col min="2308" max="2308" width="13.42578125" style="214" bestFit="1" customWidth="1"/>
    <col min="2309" max="2309" width="16.42578125" style="214" bestFit="1" customWidth="1"/>
    <col min="2310" max="2310" width="23.42578125" style="214" customWidth="1"/>
    <col min="2311" max="2311" width="11" style="214" bestFit="1" customWidth="1"/>
    <col min="2312" max="2563" width="9.140625" style="214"/>
    <col min="2564" max="2564" width="13.42578125" style="214" bestFit="1" customWidth="1"/>
    <col min="2565" max="2565" width="16.42578125" style="214" bestFit="1" customWidth="1"/>
    <col min="2566" max="2566" width="23.42578125" style="214" customWidth="1"/>
    <col min="2567" max="2567" width="11" style="214" bestFit="1" customWidth="1"/>
    <col min="2568" max="2819" width="9.140625" style="214"/>
    <col min="2820" max="2820" width="13.42578125" style="214" bestFit="1" customWidth="1"/>
    <col min="2821" max="2821" width="16.42578125" style="214" bestFit="1" customWidth="1"/>
    <col min="2822" max="2822" width="23.42578125" style="214" customWidth="1"/>
    <col min="2823" max="2823" width="11" style="214" bestFit="1" customWidth="1"/>
    <col min="2824" max="3075" width="9.140625" style="214"/>
    <col min="3076" max="3076" width="13.42578125" style="214" bestFit="1" customWidth="1"/>
    <col min="3077" max="3077" width="16.42578125" style="214" bestFit="1" customWidth="1"/>
    <col min="3078" max="3078" width="23.42578125" style="214" customWidth="1"/>
    <col min="3079" max="3079" width="11" style="214" bestFit="1" customWidth="1"/>
    <col min="3080" max="3331" width="9.140625" style="214"/>
    <col min="3332" max="3332" width="13.42578125" style="214" bestFit="1" customWidth="1"/>
    <col min="3333" max="3333" width="16.42578125" style="214" bestFit="1" customWidth="1"/>
    <col min="3334" max="3334" width="23.42578125" style="214" customWidth="1"/>
    <col min="3335" max="3335" width="11" style="214" bestFit="1" customWidth="1"/>
    <col min="3336" max="3587" width="9.140625" style="214"/>
    <col min="3588" max="3588" width="13.42578125" style="214" bestFit="1" customWidth="1"/>
    <col min="3589" max="3589" width="16.42578125" style="214" bestFit="1" customWidth="1"/>
    <col min="3590" max="3590" width="23.42578125" style="214" customWidth="1"/>
    <col min="3591" max="3591" width="11" style="214" bestFit="1" customWidth="1"/>
    <col min="3592" max="3843" width="9.140625" style="214"/>
    <col min="3844" max="3844" width="13.42578125" style="214" bestFit="1" customWidth="1"/>
    <col min="3845" max="3845" width="16.42578125" style="214" bestFit="1" customWidth="1"/>
    <col min="3846" max="3846" width="23.42578125" style="214" customWidth="1"/>
    <col min="3847" max="3847" width="11" style="214" bestFit="1" customWidth="1"/>
    <col min="3848" max="4099" width="9.140625" style="214"/>
    <col min="4100" max="4100" width="13.42578125" style="214" bestFit="1" customWidth="1"/>
    <col min="4101" max="4101" width="16.42578125" style="214" bestFit="1" customWidth="1"/>
    <col min="4102" max="4102" width="23.42578125" style="214" customWidth="1"/>
    <col min="4103" max="4103" width="11" style="214" bestFit="1" customWidth="1"/>
    <col min="4104" max="4355" width="9.140625" style="214"/>
    <col min="4356" max="4356" width="13.42578125" style="214" bestFit="1" customWidth="1"/>
    <col min="4357" max="4357" width="16.42578125" style="214" bestFit="1" customWidth="1"/>
    <col min="4358" max="4358" width="23.42578125" style="214" customWidth="1"/>
    <col min="4359" max="4359" width="11" style="214" bestFit="1" customWidth="1"/>
    <col min="4360" max="4611" width="9.140625" style="214"/>
    <col min="4612" max="4612" width="13.42578125" style="214" bestFit="1" customWidth="1"/>
    <col min="4613" max="4613" width="16.42578125" style="214" bestFit="1" customWidth="1"/>
    <col min="4614" max="4614" width="23.42578125" style="214" customWidth="1"/>
    <col min="4615" max="4615" width="11" style="214" bestFit="1" customWidth="1"/>
    <col min="4616" max="4867" width="9.140625" style="214"/>
    <col min="4868" max="4868" width="13.42578125" style="214" bestFit="1" customWidth="1"/>
    <col min="4869" max="4869" width="16.42578125" style="214" bestFit="1" customWidth="1"/>
    <col min="4870" max="4870" width="23.42578125" style="214" customWidth="1"/>
    <col min="4871" max="4871" width="11" style="214" bestFit="1" customWidth="1"/>
    <col min="4872" max="5123" width="9.140625" style="214"/>
    <col min="5124" max="5124" width="13.42578125" style="214" bestFit="1" customWidth="1"/>
    <col min="5125" max="5125" width="16.42578125" style="214" bestFit="1" customWidth="1"/>
    <col min="5126" max="5126" width="23.42578125" style="214" customWidth="1"/>
    <col min="5127" max="5127" width="11" style="214" bestFit="1" customWidth="1"/>
    <col min="5128" max="5379" width="9.140625" style="214"/>
    <col min="5380" max="5380" width="13.42578125" style="214" bestFit="1" customWidth="1"/>
    <col min="5381" max="5381" width="16.42578125" style="214" bestFit="1" customWidth="1"/>
    <col min="5382" max="5382" width="23.42578125" style="214" customWidth="1"/>
    <col min="5383" max="5383" width="11" style="214" bestFit="1" customWidth="1"/>
    <col min="5384" max="5635" width="9.140625" style="214"/>
    <col min="5636" max="5636" width="13.42578125" style="214" bestFit="1" customWidth="1"/>
    <col min="5637" max="5637" width="16.42578125" style="214" bestFit="1" customWidth="1"/>
    <col min="5638" max="5638" width="23.42578125" style="214" customWidth="1"/>
    <col min="5639" max="5639" width="11" style="214" bestFit="1" customWidth="1"/>
    <col min="5640" max="5891" width="9.140625" style="214"/>
    <col min="5892" max="5892" width="13.42578125" style="214" bestFit="1" customWidth="1"/>
    <col min="5893" max="5893" width="16.42578125" style="214" bestFit="1" customWidth="1"/>
    <col min="5894" max="5894" width="23.42578125" style="214" customWidth="1"/>
    <col min="5895" max="5895" width="11" style="214" bestFit="1" customWidth="1"/>
    <col min="5896" max="6147" width="9.140625" style="214"/>
    <col min="6148" max="6148" width="13.42578125" style="214" bestFit="1" customWidth="1"/>
    <col min="6149" max="6149" width="16.42578125" style="214" bestFit="1" customWidth="1"/>
    <col min="6150" max="6150" width="23.42578125" style="214" customWidth="1"/>
    <col min="6151" max="6151" width="11" style="214" bestFit="1" customWidth="1"/>
    <col min="6152" max="6403" width="9.140625" style="214"/>
    <col min="6404" max="6404" width="13.42578125" style="214" bestFit="1" customWidth="1"/>
    <col min="6405" max="6405" width="16.42578125" style="214" bestFit="1" customWidth="1"/>
    <col min="6406" max="6406" width="23.42578125" style="214" customWidth="1"/>
    <col min="6407" max="6407" width="11" style="214" bestFit="1" customWidth="1"/>
    <col min="6408" max="6659" width="9.140625" style="214"/>
    <col min="6660" max="6660" width="13.42578125" style="214" bestFit="1" customWidth="1"/>
    <col min="6661" max="6661" width="16.42578125" style="214" bestFit="1" customWidth="1"/>
    <col min="6662" max="6662" width="23.42578125" style="214" customWidth="1"/>
    <col min="6663" max="6663" width="11" style="214" bestFit="1" customWidth="1"/>
    <col min="6664" max="6915" width="9.140625" style="214"/>
    <col min="6916" max="6916" width="13.42578125" style="214" bestFit="1" customWidth="1"/>
    <col min="6917" max="6917" width="16.42578125" style="214" bestFit="1" customWidth="1"/>
    <col min="6918" max="6918" width="23.42578125" style="214" customWidth="1"/>
    <col min="6919" max="6919" width="11" style="214" bestFit="1" customWidth="1"/>
    <col min="6920" max="7171" width="9.140625" style="214"/>
    <col min="7172" max="7172" width="13.42578125" style="214" bestFit="1" customWidth="1"/>
    <col min="7173" max="7173" width="16.42578125" style="214" bestFit="1" customWidth="1"/>
    <col min="7174" max="7174" width="23.42578125" style="214" customWidth="1"/>
    <col min="7175" max="7175" width="11" style="214" bestFit="1" customWidth="1"/>
    <col min="7176" max="7427" width="9.140625" style="214"/>
    <col min="7428" max="7428" width="13.42578125" style="214" bestFit="1" customWidth="1"/>
    <col min="7429" max="7429" width="16.42578125" style="214" bestFit="1" customWidth="1"/>
    <col min="7430" max="7430" width="23.42578125" style="214" customWidth="1"/>
    <col min="7431" max="7431" width="11" style="214" bestFit="1" customWidth="1"/>
    <col min="7432" max="7683" width="9.140625" style="214"/>
    <col min="7684" max="7684" width="13.42578125" style="214" bestFit="1" customWidth="1"/>
    <col min="7685" max="7685" width="16.42578125" style="214" bestFit="1" customWidth="1"/>
    <col min="7686" max="7686" width="23.42578125" style="214" customWidth="1"/>
    <col min="7687" max="7687" width="11" style="214" bestFit="1" customWidth="1"/>
    <col min="7688" max="7939" width="9.140625" style="214"/>
    <col min="7940" max="7940" width="13.42578125" style="214" bestFit="1" customWidth="1"/>
    <col min="7941" max="7941" width="16.42578125" style="214" bestFit="1" customWidth="1"/>
    <col min="7942" max="7942" width="23.42578125" style="214" customWidth="1"/>
    <col min="7943" max="7943" width="11" style="214" bestFit="1" customWidth="1"/>
    <col min="7944" max="8195" width="9.140625" style="214"/>
    <col min="8196" max="8196" width="13.42578125" style="214" bestFit="1" customWidth="1"/>
    <col min="8197" max="8197" width="16.42578125" style="214" bestFit="1" customWidth="1"/>
    <col min="8198" max="8198" width="23.42578125" style="214" customWidth="1"/>
    <col min="8199" max="8199" width="11" style="214" bestFit="1" customWidth="1"/>
    <col min="8200" max="8451" width="9.140625" style="214"/>
    <col min="8452" max="8452" width="13.42578125" style="214" bestFit="1" customWidth="1"/>
    <col min="8453" max="8453" width="16.42578125" style="214" bestFit="1" customWidth="1"/>
    <col min="8454" max="8454" width="23.42578125" style="214" customWidth="1"/>
    <col min="8455" max="8455" width="11" style="214" bestFit="1" customWidth="1"/>
    <col min="8456" max="8707" width="9.140625" style="214"/>
    <col min="8708" max="8708" width="13.42578125" style="214" bestFit="1" customWidth="1"/>
    <col min="8709" max="8709" width="16.42578125" style="214" bestFit="1" customWidth="1"/>
    <col min="8710" max="8710" width="23.42578125" style="214" customWidth="1"/>
    <col min="8711" max="8711" width="11" style="214" bestFit="1" customWidth="1"/>
    <col min="8712" max="8963" width="9.140625" style="214"/>
    <col min="8964" max="8964" width="13.42578125" style="214" bestFit="1" customWidth="1"/>
    <col min="8965" max="8965" width="16.42578125" style="214" bestFit="1" customWidth="1"/>
    <col min="8966" max="8966" width="23.42578125" style="214" customWidth="1"/>
    <col min="8967" max="8967" width="11" style="214" bestFit="1" customWidth="1"/>
    <col min="8968" max="9219" width="9.140625" style="214"/>
    <col min="9220" max="9220" width="13.42578125" style="214" bestFit="1" customWidth="1"/>
    <col min="9221" max="9221" width="16.42578125" style="214" bestFit="1" customWidth="1"/>
    <col min="9222" max="9222" width="23.42578125" style="214" customWidth="1"/>
    <col min="9223" max="9223" width="11" style="214" bestFit="1" customWidth="1"/>
    <col min="9224" max="9475" width="9.140625" style="214"/>
    <col min="9476" max="9476" width="13.42578125" style="214" bestFit="1" customWidth="1"/>
    <col min="9477" max="9477" width="16.42578125" style="214" bestFit="1" customWidth="1"/>
    <col min="9478" max="9478" width="23.42578125" style="214" customWidth="1"/>
    <col min="9479" max="9479" width="11" style="214" bestFit="1" customWidth="1"/>
    <col min="9480" max="9731" width="9.140625" style="214"/>
    <col min="9732" max="9732" width="13.42578125" style="214" bestFit="1" customWidth="1"/>
    <col min="9733" max="9733" width="16.42578125" style="214" bestFit="1" customWidth="1"/>
    <col min="9734" max="9734" width="23.42578125" style="214" customWidth="1"/>
    <col min="9735" max="9735" width="11" style="214" bestFit="1" customWidth="1"/>
    <col min="9736" max="9987" width="9.140625" style="214"/>
    <col min="9988" max="9988" width="13.42578125" style="214" bestFit="1" customWidth="1"/>
    <col min="9989" max="9989" width="16.42578125" style="214" bestFit="1" customWidth="1"/>
    <col min="9990" max="9990" width="23.42578125" style="214" customWidth="1"/>
    <col min="9991" max="9991" width="11" style="214" bestFit="1" customWidth="1"/>
    <col min="9992" max="10243" width="9.140625" style="214"/>
    <col min="10244" max="10244" width="13.42578125" style="214" bestFit="1" customWidth="1"/>
    <col min="10245" max="10245" width="16.42578125" style="214" bestFit="1" customWidth="1"/>
    <col min="10246" max="10246" width="23.42578125" style="214" customWidth="1"/>
    <col min="10247" max="10247" width="11" style="214" bestFit="1" customWidth="1"/>
    <col min="10248" max="10499" width="9.140625" style="214"/>
    <col min="10500" max="10500" width="13.42578125" style="214" bestFit="1" customWidth="1"/>
    <col min="10501" max="10501" width="16.42578125" style="214" bestFit="1" customWidth="1"/>
    <col min="10502" max="10502" width="23.42578125" style="214" customWidth="1"/>
    <col min="10503" max="10503" width="11" style="214" bestFit="1" customWidth="1"/>
    <col min="10504" max="10755" width="9.140625" style="214"/>
    <col min="10756" max="10756" width="13.42578125" style="214" bestFit="1" customWidth="1"/>
    <col min="10757" max="10757" width="16.42578125" style="214" bestFit="1" customWidth="1"/>
    <col min="10758" max="10758" width="23.42578125" style="214" customWidth="1"/>
    <col min="10759" max="10759" width="11" style="214" bestFit="1" customWidth="1"/>
    <col min="10760" max="11011" width="9.140625" style="214"/>
    <col min="11012" max="11012" width="13.42578125" style="214" bestFit="1" customWidth="1"/>
    <col min="11013" max="11013" width="16.42578125" style="214" bestFit="1" customWidth="1"/>
    <col min="11014" max="11014" width="23.42578125" style="214" customWidth="1"/>
    <col min="11015" max="11015" width="11" style="214" bestFit="1" customWidth="1"/>
    <col min="11016" max="11267" width="9.140625" style="214"/>
    <col min="11268" max="11268" width="13.42578125" style="214" bestFit="1" customWidth="1"/>
    <col min="11269" max="11269" width="16.42578125" style="214" bestFit="1" customWidth="1"/>
    <col min="11270" max="11270" width="23.42578125" style="214" customWidth="1"/>
    <col min="11271" max="11271" width="11" style="214" bestFit="1" customWidth="1"/>
    <col min="11272" max="11523" width="9.140625" style="214"/>
    <col min="11524" max="11524" width="13.42578125" style="214" bestFit="1" customWidth="1"/>
    <col min="11525" max="11525" width="16.42578125" style="214" bestFit="1" customWidth="1"/>
    <col min="11526" max="11526" width="23.42578125" style="214" customWidth="1"/>
    <col min="11527" max="11527" width="11" style="214" bestFit="1" customWidth="1"/>
    <col min="11528" max="11779" width="9.140625" style="214"/>
    <col min="11780" max="11780" width="13.42578125" style="214" bestFit="1" customWidth="1"/>
    <col min="11781" max="11781" width="16.42578125" style="214" bestFit="1" customWidth="1"/>
    <col min="11782" max="11782" width="23.42578125" style="214" customWidth="1"/>
    <col min="11783" max="11783" width="11" style="214" bestFit="1" customWidth="1"/>
    <col min="11784" max="12035" width="9.140625" style="214"/>
    <col min="12036" max="12036" width="13.42578125" style="214" bestFit="1" customWidth="1"/>
    <col min="12037" max="12037" width="16.42578125" style="214" bestFit="1" customWidth="1"/>
    <col min="12038" max="12038" width="23.42578125" style="214" customWidth="1"/>
    <col min="12039" max="12039" width="11" style="214" bestFit="1" customWidth="1"/>
    <col min="12040" max="12291" width="9.140625" style="214"/>
    <col min="12292" max="12292" width="13.42578125" style="214" bestFit="1" customWidth="1"/>
    <col min="12293" max="12293" width="16.42578125" style="214" bestFit="1" customWidth="1"/>
    <col min="12294" max="12294" width="23.42578125" style="214" customWidth="1"/>
    <col min="12295" max="12295" width="11" style="214" bestFit="1" customWidth="1"/>
    <col min="12296" max="12547" width="9.140625" style="214"/>
    <col min="12548" max="12548" width="13.42578125" style="214" bestFit="1" customWidth="1"/>
    <col min="12549" max="12549" width="16.42578125" style="214" bestFit="1" customWidth="1"/>
    <col min="12550" max="12550" width="23.42578125" style="214" customWidth="1"/>
    <col min="12551" max="12551" width="11" style="214" bestFit="1" customWidth="1"/>
    <col min="12552" max="12803" width="9.140625" style="214"/>
    <col min="12804" max="12804" width="13.42578125" style="214" bestFit="1" customWidth="1"/>
    <col min="12805" max="12805" width="16.42578125" style="214" bestFit="1" customWidth="1"/>
    <col min="12806" max="12806" width="23.42578125" style="214" customWidth="1"/>
    <col min="12807" max="12807" width="11" style="214" bestFit="1" customWidth="1"/>
    <col min="12808" max="13059" width="9.140625" style="214"/>
    <col min="13060" max="13060" width="13.42578125" style="214" bestFit="1" customWidth="1"/>
    <col min="13061" max="13061" width="16.42578125" style="214" bestFit="1" customWidth="1"/>
    <col min="13062" max="13062" width="23.42578125" style="214" customWidth="1"/>
    <col min="13063" max="13063" width="11" style="214" bestFit="1" customWidth="1"/>
    <col min="13064" max="13315" width="9.140625" style="214"/>
    <col min="13316" max="13316" width="13.42578125" style="214" bestFit="1" customWidth="1"/>
    <col min="13317" max="13317" width="16.42578125" style="214" bestFit="1" customWidth="1"/>
    <col min="13318" max="13318" width="23.42578125" style="214" customWidth="1"/>
    <col min="13319" max="13319" width="11" style="214" bestFit="1" customWidth="1"/>
    <col min="13320" max="13571" width="9.140625" style="214"/>
    <col min="13572" max="13572" width="13.42578125" style="214" bestFit="1" customWidth="1"/>
    <col min="13573" max="13573" width="16.42578125" style="214" bestFit="1" customWidth="1"/>
    <col min="13574" max="13574" width="23.42578125" style="214" customWidth="1"/>
    <col min="13575" max="13575" width="11" style="214" bestFit="1" customWidth="1"/>
    <col min="13576" max="13827" width="9.140625" style="214"/>
    <col min="13828" max="13828" width="13.42578125" style="214" bestFit="1" customWidth="1"/>
    <col min="13829" max="13829" width="16.42578125" style="214" bestFit="1" customWidth="1"/>
    <col min="13830" max="13830" width="23.42578125" style="214" customWidth="1"/>
    <col min="13831" max="13831" width="11" style="214" bestFit="1" customWidth="1"/>
    <col min="13832" max="14083" width="9.140625" style="214"/>
    <col min="14084" max="14084" width="13.42578125" style="214" bestFit="1" customWidth="1"/>
    <col min="14085" max="14085" width="16.42578125" style="214" bestFit="1" customWidth="1"/>
    <col min="14086" max="14086" width="23.42578125" style="214" customWidth="1"/>
    <col min="14087" max="14087" width="11" style="214" bestFit="1" customWidth="1"/>
    <col min="14088" max="14339" width="9.140625" style="214"/>
    <col min="14340" max="14340" width="13.42578125" style="214" bestFit="1" customWidth="1"/>
    <col min="14341" max="14341" width="16.42578125" style="214" bestFit="1" customWidth="1"/>
    <col min="14342" max="14342" width="23.42578125" style="214" customWidth="1"/>
    <col min="14343" max="14343" width="11" style="214" bestFit="1" customWidth="1"/>
    <col min="14344" max="14595" width="9.140625" style="214"/>
    <col min="14596" max="14596" width="13.42578125" style="214" bestFit="1" customWidth="1"/>
    <col min="14597" max="14597" width="16.42578125" style="214" bestFit="1" customWidth="1"/>
    <col min="14598" max="14598" width="23.42578125" style="214" customWidth="1"/>
    <col min="14599" max="14599" width="11" style="214" bestFit="1" customWidth="1"/>
    <col min="14600" max="14851" width="9.140625" style="214"/>
    <col min="14852" max="14852" width="13.42578125" style="214" bestFit="1" customWidth="1"/>
    <col min="14853" max="14853" width="16.42578125" style="214" bestFit="1" customWidth="1"/>
    <col min="14854" max="14854" width="23.42578125" style="214" customWidth="1"/>
    <col min="14855" max="14855" width="11" style="214" bestFit="1" customWidth="1"/>
    <col min="14856" max="15107" width="9.140625" style="214"/>
    <col min="15108" max="15108" width="13.42578125" style="214" bestFit="1" customWidth="1"/>
    <col min="15109" max="15109" width="16.42578125" style="214" bestFit="1" customWidth="1"/>
    <col min="15110" max="15110" width="23.42578125" style="214" customWidth="1"/>
    <col min="15111" max="15111" width="11" style="214" bestFit="1" customWidth="1"/>
    <col min="15112" max="15363" width="9.140625" style="214"/>
    <col min="15364" max="15364" width="13.42578125" style="214" bestFit="1" customWidth="1"/>
    <col min="15365" max="15365" width="16.42578125" style="214" bestFit="1" customWidth="1"/>
    <col min="15366" max="15366" width="23.42578125" style="214" customWidth="1"/>
    <col min="15367" max="15367" width="11" style="214" bestFit="1" customWidth="1"/>
    <col min="15368" max="15619" width="9.140625" style="214"/>
    <col min="15620" max="15620" width="13.42578125" style="214" bestFit="1" customWidth="1"/>
    <col min="15621" max="15621" width="16.42578125" style="214" bestFit="1" customWidth="1"/>
    <col min="15622" max="15622" width="23.42578125" style="214" customWidth="1"/>
    <col min="15623" max="15623" width="11" style="214" bestFit="1" customWidth="1"/>
    <col min="15624" max="15875" width="9.140625" style="214"/>
    <col min="15876" max="15876" width="13.42578125" style="214" bestFit="1" customWidth="1"/>
    <col min="15877" max="15877" width="16.42578125" style="214" bestFit="1" customWidth="1"/>
    <col min="15878" max="15878" width="23.42578125" style="214" customWidth="1"/>
    <col min="15879" max="15879" width="11" style="214" bestFit="1" customWidth="1"/>
    <col min="15880" max="16131" width="9.140625" style="214"/>
    <col min="16132" max="16132" width="13.42578125" style="214" bestFit="1" customWidth="1"/>
    <col min="16133" max="16133" width="16.42578125" style="214" bestFit="1" customWidth="1"/>
    <col min="16134" max="16134" width="23.42578125" style="214" customWidth="1"/>
    <col min="16135" max="16135" width="11" style="214" bestFit="1" customWidth="1"/>
    <col min="16136" max="16384" width="9.140625" style="214"/>
  </cols>
  <sheetData>
    <row r="1" spans="1:38" ht="20.25" x14ac:dyDescent="0.3">
      <c r="A1" s="215"/>
      <c r="B1" s="216"/>
      <c r="C1" s="215"/>
      <c r="D1" s="216"/>
      <c r="E1" s="215"/>
      <c r="F1" s="215"/>
      <c r="G1" s="215"/>
      <c r="H1" s="80" t="s">
        <v>20</v>
      </c>
      <c r="I1" s="217"/>
      <c r="J1" s="217"/>
      <c r="K1" s="217"/>
      <c r="L1" s="217"/>
      <c r="M1" s="217"/>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row>
    <row r="2" spans="1:38" x14ac:dyDescent="0.2">
      <c r="A2" s="217"/>
      <c r="B2" s="416"/>
      <c r="C2" s="416"/>
      <c r="D2" s="416"/>
      <c r="E2" s="416"/>
      <c r="F2" s="218"/>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row>
    <row r="3" spans="1:38" x14ac:dyDescent="0.2">
      <c r="A3" s="217"/>
      <c r="B3" s="417" t="s">
        <v>228</v>
      </c>
      <c r="C3" s="417"/>
      <c r="D3" s="417"/>
      <c r="E3" s="417"/>
      <c r="F3" s="219" t="s">
        <v>64</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row>
    <row r="4" spans="1:38" x14ac:dyDescent="0.2">
      <c r="A4" s="217"/>
      <c r="B4" s="213" t="s">
        <v>235</v>
      </c>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row>
    <row r="5" spans="1:38" x14ac:dyDescent="0.2">
      <c r="A5" s="217"/>
      <c r="B5" s="222" t="s">
        <v>236</v>
      </c>
      <c r="C5" s="222"/>
      <c r="D5" s="222"/>
      <c r="E5" s="222">
        <v>3.2808000000000002</v>
      </c>
      <c r="F5" s="222" t="s">
        <v>237</v>
      </c>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1:38" x14ac:dyDescent="0.2">
      <c r="A6" s="217"/>
      <c r="B6" s="222" t="s">
        <v>238</v>
      </c>
      <c r="C6" s="222"/>
      <c r="D6" s="222"/>
      <c r="E6" s="222">
        <f>1/E5</f>
        <v>0.30480370641306997</v>
      </c>
      <c r="F6" s="222" t="s">
        <v>239</v>
      </c>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x14ac:dyDescent="0.2">
      <c r="A7" s="217"/>
      <c r="B7" s="222" t="s">
        <v>240</v>
      </c>
      <c r="C7" s="222"/>
      <c r="D7" s="222"/>
      <c r="E7" s="222">
        <v>2.5399999999999999E-2</v>
      </c>
      <c r="F7" s="222" t="s">
        <v>241</v>
      </c>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x14ac:dyDescent="0.2">
      <c r="A8" s="217"/>
      <c r="B8" s="222" t="s">
        <v>242</v>
      </c>
      <c r="C8" s="222"/>
      <c r="D8" s="222"/>
      <c r="E8" s="222">
        <f>1/E7</f>
        <v>39.370078740157481</v>
      </c>
      <c r="F8" s="222" t="s">
        <v>243</v>
      </c>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x14ac:dyDescent="0.2">
      <c r="A9" s="217"/>
      <c r="B9" s="222" t="s">
        <v>244</v>
      </c>
      <c r="C9" s="222"/>
      <c r="D9" s="222"/>
      <c r="E9" s="222">
        <v>0.62136999999999998</v>
      </c>
      <c r="F9" s="222" t="s">
        <v>245</v>
      </c>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x14ac:dyDescent="0.2">
      <c r="A10" s="217"/>
      <c r="B10" s="213" t="s">
        <v>246</v>
      </c>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x14ac:dyDescent="0.2">
      <c r="A11" s="217"/>
      <c r="B11" s="222" t="s">
        <v>247</v>
      </c>
      <c r="C11" s="222"/>
      <c r="D11" s="222"/>
      <c r="E11" s="222">
        <v>2.2040000000000002</v>
      </c>
      <c r="F11" s="222" t="s">
        <v>248</v>
      </c>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x14ac:dyDescent="0.2">
      <c r="A12" s="217"/>
      <c r="B12" s="222" t="s">
        <v>249</v>
      </c>
      <c r="C12" s="222"/>
      <c r="D12" s="222"/>
      <c r="E12" s="222">
        <v>0.45358999999999999</v>
      </c>
      <c r="F12" s="222" t="s">
        <v>250</v>
      </c>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x14ac:dyDescent="0.2">
      <c r="A13" s="217"/>
      <c r="B13" s="222" t="s">
        <v>251</v>
      </c>
      <c r="C13" s="222"/>
      <c r="D13" s="222"/>
      <c r="E13" s="222">
        <v>1000</v>
      </c>
      <c r="F13" s="222" t="s">
        <v>252</v>
      </c>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x14ac:dyDescent="0.2">
      <c r="A14" s="217"/>
      <c r="B14" s="222" t="s">
        <v>253</v>
      </c>
      <c r="C14" s="222"/>
      <c r="D14" s="222"/>
      <c r="E14" s="222">
        <f>1/1000</f>
        <v>1E-3</v>
      </c>
      <c r="F14" s="222" t="s">
        <v>254</v>
      </c>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x14ac:dyDescent="0.2">
      <c r="A15" s="217"/>
      <c r="B15" s="222" t="s">
        <v>255</v>
      </c>
      <c r="C15" s="222"/>
      <c r="D15" s="222"/>
      <c r="E15" s="222">
        <f>E12*1000</f>
        <v>453.59</v>
      </c>
      <c r="F15" s="222" t="s">
        <v>256</v>
      </c>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x14ac:dyDescent="0.2">
      <c r="A16" s="217"/>
      <c r="B16" s="222" t="s">
        <v>257</v>
      </c>
      <c r="C16" s="222"/>
      <c r="D16" s="222"/>
      <c r="E16" s="222">
        <f>1/E15</f>
        <v>2.2046341409643071E-3</v>
      </c>
      <c r="F16" s="222" t="s">
        <v>258</v>
      </c>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x14ac:dyDescent="0.2">
      <c r="A17" s="217"/>
      <c r="B17" s="222" t="s">
        <v>259</v>
      </c>
      <c r="C17" s="222"/>
      <c r="D17" s="222"/>
      <c r="E17" s="223">
        <f>E12*1000*365</f>
        <v>165560.34999999998</v>
      </c>
      <c r="F17" s="222" t="s">
        <v>260</v>
      </c>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x14ac:dyDescent="0.2">
      <c r="A18" s="217"/>
      <c r="B18" s="213" t="s">
        <v>261</v>
      </c>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x14ac:dyDescent="0.2">
      <c r="A19" s="217"/>
      <c r="B19" s="413" t="s">
        <v>262</v>
      </c>
      <c r="C19" s="414"/>
      <c r="D19" s="222"/>
      <c r="E19" s="222">
        <v>1.3069999999999999</v>
      </c>
      <c r="F19" s="222" t="s">
        <v>263</v>
      </c>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x14ac:dyDescent="0.2">
      <c r="A20" s="217"/>
      <c r="B20" s="413" t="s">
        <v>264</v>
      </c>
      <c r="C20" s="414"/>
      <c r="D20" s="222"/>
      <c r="E20" s="222">
        <v>42</v>
      </c>
      <c r="F20" s="222" t="s">
        <v>265</v>
      </c>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x14ac:dyDescent="0.2">
      <c r="A21" s="217"/>
      <c r="B21" s="413" t="s">
        <v>266</v>
      </c>
      <c r="C21" s="414"/>
      <c r="D21" s="222"/>
      <c r="E21" s="222">
        <f>1/E20</f>
        <v>2.3809523809523808E-2</v>
      </c>
      <c r="F21" s="222" t="s">
        <v>267</v>
      </c>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x14ac:dyDescent="0.2">
      <c r="A22" s="217"/>
      <c r="B22" s="413" t="s">
        <v>268</v>
      </c>
      <c r="C22" s="414"/>
      <c r="D22" s="222"/>
      <c r="E22" s="222">
        <v>3.78</v>
      </c>
      <c r="F22" s="222" t="s">
        <v>269</v>
      </c>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x14ac:dyDescent="0.2">
      <c r="A23" s="217"/>
      <c r="B23" s="413" t="s">
        <v>270</v>
      </c>
      <c r="C23" s="414"/>
      <c r="D23" s="222"/>
      <c r="E23" s="222">
        <v>28.316846600000002</v>
      </c>
      <c r="F23" s="222" t="s">
        <v>271</v>
      </c>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x14ac:dyDescent="0.2">
      <c r="A24" s="217"/>
      <c r="B24" s="413" t="s">
        <v>272</v>
      </c>
      <c r="C24" s="414"/>
      <c r="D24" s="222"/>
      <c r="E24" s="222">
        <v>158.9873</v>
      </c>
      <c r="F24" s="222" t="s">
        <v>273</v>
      </c>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x14ac:dyDescent="0.2">
      <c r="A25" s="217"/>
      <c r="B25" s="413" t="s">
        <v>274</v>
      </c>
      <c r="C25" s="414"/>
      <c r="D25" s="222"/>
      <c r="E25" s="222">
        <f>E24/1000</f>
        <v>0.1589873</v>
      </c>
      <c r="F25" s="222" t="s">
        <v>275</v>
      </c>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x14ac:dyDescent="0.2">
      <c r="A26" s="217"/>
      <c r="B26" s="413" t="s">
        <v>276</v>
      </c>
      <c r="C26" s="414"/>
      <c r="D26" s="222"/>
      <c r="E26" s="224">
        <f>E25*35.3146667</f>
        <v>5.6145835090329097</v>
      </c>
      <c r="F26" s="222" t="s">
        <v>277</v>
      </c>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x14ac:dyDescent="0.2">
      <c r="A27" s="217"/>
      <c r="B27" s="413" t="s">
        <v>278</v>
      </c>
      <c r="C27" s="414"/>
      <c r="D27" s="222"/>
      <c r="E27" s="222">
        <f>1/E25</f>
        <v>6.2898105697750699</v>
      </c>
      <c r="F27" s="222" t="s">
        <v>279</v>
      </c>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x14ac:dyDescent="0.2">
      <c r="A28" s="217"/>
      <c r="B28" s="413" t="s">
        <v>280</v>
      </c>
      <c r="C28" s="414"/>
      <c r="D28" s="222"/>
      <c r="E28" s="222">
        <v>22.4</v>
      </c>
      <c r="F28" s="222" t="s">
        <v>281</v>
      </c>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x14ac:dyDescent="0.2">
      <c r="B29" s="413" t="s">
        <v>282</v>
      </c>
      <c r="C29" s="414"/>
      <c r="D29" s="222"/>
      <c r="E29" s="222">
        <f>E26/E25</f>
        <v>35.314666699999997</v>
      </c>
      <c r="F29" s="222" t="s">
        <v>283</v>
      </c>
    </row>
    <row r="30" spans="1:38" x14ac:dyDescent="0.2">
      <c r="B30" s="225" t="s">
        <v>284</v>
      </c>
      <c r="C30" s="217"/>
      <c r="D30" s="217"/>
      <c r="E30" s="217"/>
    </row>
    <row r="31" spans="1:38" x14ac:dyDescent="0.2">
      <c r="B31" s="413" t="s">
        <v>285</v>
      </c>
      <c r="C31" s="414"/>
      <c r="D31" s="222"/>
      <c r="E31" s="222">
        <v>9.4781711999999995E-4</v>
      </c>
      <c r="F31" s="222" t="s">
        <v>286</v>
      </c>
    </row>
    <row r="32" spans="1:38" x14ac:dyDescent="0.2">
      <c r="B32" s="413" t="s">
        <v>287</v>
      </c>
      <c r="C32" s="414"/>
      <c r="D32" s="222"/>
      <c r="E32" s="222">
        <f>E31*1000000</f>
        <v>947.81711999999993</v>
      </c>
      <c r="F32" s="222" t="s">
        <v>288</v>
      </c>
    </row>
    <row r="33" spans="2:10" x14ac:dyDescent="0.2">
      <c r="B33" s="413" t="s">
        <v>289</v>
      </c>
      <c r="C33" s="414"/>
      <c r="D33" s="222"/>
      <c r="E33" s="222">
        <v>1055.05</v>
      </c>
      <c r="F33" s="222" t="s">
        <v>290</v>
      </c>
    </row>
    <row r="34" spans="2:10" x14ac:dyDescent="0.2">
      <c r="B34" s="413" t="s">
        <v>291</v>
      </c>
      <c r="C34" s="414"/>
      <c r="D34" s="222"/>
      <c r="E34" s="222">
        <f>E33/1000000</f>
        <v>1.0550499999999999E-3</v>
      </c>
      <c r="F34" s="222" t="s">
        <v>292</v>
      </c>
    </row>
    <row r="35" spans="2:10" x14ac:dyDescent="0.2">
      <c r="B35" s="413" t="s">
        <v>293</v>
      </c>
      <c r="C35" s="414"/>
      <c r="D35" s="222"/>
      <c r="E35" s="222">
        <f>E34*1000000</f>
        <v>1055.05</v>
      </c>
      <c r="F35" s="222" t="s">
        <v>294</v>
      </c>
    </row>
    <row r="36" spans="2:10" x14ac:dyDescent="0.2">
      <c r="B36" s="413" t="s">
        <v>295</v>
      </c>
      <c r="C36" s="414"/>
      <c r="D36" s="222"/>
      <c r="E36" s="222">
        <v>4.18</v>
      </c>
      <c r="F36" s="222" t="s">
        <v>296</v>
      </c>
    </row>
    <row r="37" spans="2:10" x14ac:dyDescent="0.2">
      <c r="B37" s="413" t="s">
        <v>297</v>
      </c>
      <c r="C37" s="414"/>
      <c r="D37" s="222"/>
      <c r="E37" s="222">
        <v>3.6</v>
      </c>
      <c r="F37" s="222" t="s">
        <v>298</v>
      </c>
      <c r="J37" s="220"/>
    </row>
    <row r="38" spans="2:10" x14ac:dyDescent="0.2">
      <c r="B38" s="413" t="s">
        <v>299</v>
      </c>
      <c r="C38" s="414"/>
      <c r="D38" s="222"/>
      <c r="E38" s="222">
        <f>1/E37</f>
        <v>0.27777777777777779</v>
      </c>
      <c r="F38" s="222" t="s">
        <v>300</v>
      </c>
    </row>
    <row r="39" spans="2:10" x14ac:dyDescent="0.2">
      <c r="B39" s="413" t="s">
        <v>301</v>
      </c>
      <c r="C39" s="414"/>
      <c r="D39" s="222"/>
      <c r="E39" s="222">
        <f>E34*E38</f>
        <v>2.9306944444444443E-4</v>
      </c>
      <c r="F39" s="222" t="s">
        <v>302</v>
      </c>
    </row>
    <row r="40" spans="2:10" x14ac:dyDescent="0.2">
      <c r="B40" s="413" t="s">
        <v>303</v>
      </c>
      <c r="C40" s="414"/>
      <c r="D40" s="222"/>
      <c r="E40" s="222">
        <f>1/E39</f>
        <v>3412.160561110848</v>
      </c>
      <c r="F40" s="222" t="s">
        <v>304</v>
      </c>
    </row>
    <row r="41" spans="2:10" x14ac:dyDescent="0.2">
      <c r="B41" s="413" t="s">
        <v>305</v>
      </c>
      <c r="C41" s="414"/>
      <c r="D41" s="222"/>
      <c r="E41" s="222">
        <f>E40/1000</f>
        <v>3.4121605611108481</v>
      </c>
      <c r="F41" s="222" t="s">
        <v>306</v>
      </c>
    </row>
    <row r="42" spans="2:10" x14ac:dyDescent="0.2">
      <c r="B42" s="213" t="s">
        <v>307</v>
      </c>
    </row>
    <row r="43" spans="2:10" x14ac:dyDescent="0.2">
      <c r="B43" s="413" t="s">
        <v>308</v>
      </c>
      <c r="C43" s="414"/>
      <c r="D43" s="222"/>
      <c r="E43" s="222">
        <v>1.34</v>
      </c>
      <c r="F43" s="222" t="s">
        <v>309</v>
      </c>
    </row>
    <row r="44" spans="2:10" x14ac:dyDescent="0.2">
      <c r="B44" s="413" t="s">
        <v>310</v>
      </c>
      <c r="C44" s="414"/>
      <c r="D44" s="222"/>
      <c r="E44" s="222">
        <f>1/E43</f>
        <v>0.74626865671641784</v>
      </c>
      <c r="F44" s="222" t="s">
        <v>311</v>
      </c>
    </row>
    <row r="48" spans="2:10" ht="15" x14ac:dyDescent="0.2">
      <c r="B48" s="226" t="s">
        <v>312</v>
      </c>
      <c r="C48" s="227"/>
      <c r="D48" s="227"/>
      <c r="E48" s="227"/>
      <c r="F48" s="227"/>
      <c r="G48" s="227"/>
      <c r="H48" s="227"/>
    </row>
    <row r="49" spans="2:8" x14ac:dyDescent="0.2">
      <c r="B49" s="228" t="s">
        <v>313</v>
      </c>
      <c r="C49" s="229"/>
      <c r="D49" s="230"/>
      <c r="E49" s="415"/>
      <c r="F49" s="415"/>
      <c r="G49" s="231" t="s">
        <v>314</v>
      </c>
      <c r="H49" s="231" t="s">
        <v>315</v>
      </c>
    </row>
    <row r="50" spans="2:8" x14ac:dyDescent="0.2">
      <c r="B50" s="228"/>
      <c r="C50" s="229"/>
      <c r="D50" s="230"/>
      <c r="E50" s="231" t="s">
        <v>316</v>
      </c>
      <c r="F50" s="231" t="s">
        <v>317</v>
      </c>
      <c r="G50" s="231"/>
      <c r="H50" s="231" t="s">
        <v>318</v>
      </c>
    </row>
    <row r="51" spans="2:8" x14ac:dyDescent="0.2">
      <c r="B51" s="228" t="s">
        <v>319</v>
      </c>
      <c r="C51" s="229"/>
      <c r="D51" s="230"/>
      <c r="E51" s="231" t="s">
        <v>320</v>
      </c>
      <c r="F51" s="231" t="s">
        <v>320</v>
      </c>
      <c r="G51" s="231" t="s">
        <v>321</v>
      </c>
      <c r="H51" s="231"/>
    </row>
    <row r="52" spans="2:8" x14ac:dyDescent="0.2">
      <c r="B52" s="232" t="s">
        <v>322</v>
      </c>
      <c r="C52" s="233"/>
      <c r="D52" s="234"/>
      <c r="E52" s="235">
        <v>129670</v>
      </c>
      <c r="F52" s="235">
        <v>138350</v>
      </c>
      <c r="G52" s="235">
        <v>3205</v>
      </c>
      <c r="H52" s="236">
        <v>0.85299999999999998</v>
      </c>
    </row>
    <row r="53" spans="2:8" x14ac:dyDescent="0.2">
      <c r="B53" s="237" t="s">
        <v>323</v>
      </c>
      <c r="C53" s="238"/>
      <c r="D53" s="239"/>
      <c r="E53" s="240">
        <v>116090</v>
      </c>
      <c r="F53" s="240">
        <v>124340</v>
      </c>
      <c r="G53" s="240">
        <v>2819</v>
      </c>
      <c r="H53" s="236">
        <v>0.86299999999999999</v>
      </c>
    </row>
    <row r="54" spans="2:8" x14ac:dyDescent="0.2">
      <c r="B54" s="237" t="s">
        <v>324</v>
      </c>
      <c r="C54" s="238"/>
      <c r="D54" s="239"/>
      <c r="E54" s="240">
        <v>116090</v>
      </c>
      <c r="F54" s="240">
        <v>124340</v>
      </c>
      <c r="G54" s="240">
        <v>2819</v>
      </c>
      <c r="H54" s="236">
        <v>0.86299999999999999</v>
      </c>
    </row>
    <row r="55" spans="2:8" x14ac:dyDescent="0.2">
      <c r="B55" s="237" t="s">
        <v>325</v>
      </c>
      <c r="C55" s="238"/>
      <c r="D55" s="239"/>
      <c r="E55" s="240">
        <v>109771.98636437056</v>
      </c>
      <c r="F55" s="240">
        <v>120540.96773507145</v>
      </c>
      <c r="G55" s="240">
        <v>2788.0898299560213</v>
      </c>
      <c r="H55" s="236">
        <v>0.82870402298850565</v>
      </c>
    </row>
    <row r="56" spans="2:8" x14ac:dyDescent="0.2">
      <c r="B56" s="237" t="s">
        <v>326</v>
      </c>
      <c r="C56" s="238"/>
      <c r="D56" s="239"/>
      <c r="E56" s="240">
        <v>128450</v>
      </c>
      <c r="F56" s="240">
        <v>137380</v>
      </c>
      <c r="G56" s="240">
        <v>3167</v>
      </c>
      <c r="H56" s="236">
        <v>0.86499999999999999</v>
      </c>
    </row>
    <row r="57" spans="2:8" x14ac:dyDescent="0.2">
      <c r="B57" s="237" t="s">
        <v>327</v>
      </c>
      <c r="C57" s="238"/>
      <c r="D57" s="239"/>
      <c r="E57" s="240">
        <v>128450</v>
      </c>
      <c r="F57" s="240">
        <v>137380</v>
      </c>
      <c r="G57" s="240">
        <v>3167</v>
      </c>
      <c r="H57" s="236">
        <v>0.86499999999999999</v>
      </c>
    </row>
    <row r="58" spans="2:8" x14ac:dyDescent="0.2">
      <c r="B58" s="237" t="s">
        <v>328</v>
      </c>
      <c r="C58" s="238"/>
      <c r="D58" s="239"/>
      <c r="E58" s="240">
        <v>127463.51938029277</v>
      </c>
      <c r="F58" s="240">
        <v>133075.1387920352</v>
      </c>
      <c r="G58" s="240">
        <v>3141.8675346178593</v>
      </c>
      <c r="H58" s="236">
        <v>0.86499999999999999</v>
      </c>
    </row>
    <row r="59" spans="2:8" x14ac:dyDescent="0.2">
      <c r="B59" s="237" t="s">
        <v>329</v>
      </c>
      <c r="C59" s="238"/>
      <c r="D59" s="239"/>
      <c r="E59" s="240">
        <v>84950</v>
      </c>
      <c r="F59" s="240">
        <v>91410</v>
      </c>
      <c r="G59" s="240">
        <v>1923</v>
      </c>
      <c r="H59" s="236">
        <v>0.82</v>
      </c>
    </row>
    <row r="60" spans="2:8" x14ac:dyDescent="0.2">
      <c r="B60" s="237" t="s">
        <v>330</v>
      </c>
      <c r="C60" s="238"/>
      <c r="D60" s="239"/>
      <c r="E60" s="240">
        <v>140352.52220119376</v>
      </c>
      <c r="F60" s="240">
        <v>150110</v>
      </c>
      <c r="G60" s="240">
        <v>3752</v>
      </c>
      <c r="H60" s="236">
        <v>0.86799999999999999</v>
      </c>
    </row>
    <row r="61" spans="2:8" x14ac:dyDescent="0.2">
      <c r="B61" s="228" t="s">
        <v>331</v>
      </c>
      <c r="C61" s="229"/>
      <c r="D61" s="230"/>
      <c r="E61" s="231" t="s">
        <v>332</v>
      </c>
      <c r="F61" s="231" t="s">
        <v>332</v>
      </c>
      <c r="G61" s="241" t="s">
        <v>333</v>
      </c>
      <c r="H61" s="242"/>
    </row>
    <row r="62" spans="2:8" x14ac:dyDescent="0.2">
      <c r="B62" s="237" t="s">
        <v>334</v>
      </c>
      <c r="C62" s="238"/>
      <c r="D62" s="239"/>
      <c r="E62" s="240">
        <v>930</v>
      </c>
      <c r="F62" s="240">
        <v>1030</v>
      </c>
      <c r="G62" s="240">
        <v>20.399999999999999</v>
      </c>
      <c r="H62" s="236">
        <v>0.72399999999999998</v>
      </c>
    </row>
    <row r="63" spans="2:8" x14ac:dyDescent="0.2">
      <c r="B63" s="237" t="s">
        <v>335</v>
      </c>
      <c r="C63" s="238"/>
      <c r="D63" s="239"/>
      <c r="E63" s="240">
        <v>282</v>
      </c>
      <c r="F63" s="240">
        <v>331</v>
      </c>
      <c r="G63" s="240">
        <v>2.48</v>
      </c>
      <c r="H63" s="236">
        <v>0</v>
      </c>
    </row>
    <row r="64" spans="2:8" x14ac:dyDescent="0.2">
      <c r="B64" s="237" t="s">
        <v>336</v>
      </c>
      <c r="C64" s="238"/>
      <c r="D64" s="239"/>
      <c r="E64" s="243"/>
      <c r="F64" s="243"/>
      <c r="G64" s="240">
        <v>55.977829999999997</v>
      </c>
      <c r="H64" s="236">
        <v>0.27272727272727271</v>
      </c>
    </row>
    <row r="65" spans="2:8" x14ac:dyDescent="0.2">
      <c r="B65" s="237" t="s">
        <v>337</v>
      </c>
      <c r="C65" s="238"/>
      <c r="D65" s="239"/>
      <c r="E65" s="243">
        <v>1458</v>
      </c>
      <c r="F65" s="243">
        <v>1584</v>
      </c>
      <c r="G65" s="240">
        <v>32.799999999999997</v>
      </c>
      <c r="H65" s="236"/>
    </row>
    <row r="66" spans="2:8" x14ac:dyDescent="0.2">
      <c r="B66" s="228" t="s">
        <v>338</v>
      </c>
      <c r="C66" s="229"/>
      <c r="D66" s="230"/>
      <c r="E66" s="231" t="s">
        <v>339</v>
      </c>
      <c r="F66" s="231" t="s">
        <v>339</v>
      </c>
      <c r="G66" s="231"/>
      <c r="H66" s="242"/>
    </row>
    <row r="67" spans="2:8" x14ac:dyDescent="0.2">
      <c r="B67" s="237" t="s">
        <v>340</v>
      </c>
      <c r="C67" s="238"/>
      <c r="D67" s="239"/>
      <c r="E67" s="240">
        <v>25370000</v>
      </c>
      <c r="F67" s="240">
        <v>26920000</v>
      </c>
      <c r="G67" s="243"/>
      <c r="H67" s="236">
        <v>0.79900000000000004</v>
      </c>
    </row>
    <row r="68" spans="2:8" x14ac:dyDescent="0.2">
      <c r="B68" s="237" t="s">
        <v>341</v>
      </c>
      <c r="C68" s="238"/>
      <c r="D68" s="239"/>
      <c r="E68" s="240">
        <v>19546300</v>
      </c>
      <c r="F68" s="240">
        <v>20608570</v>
      </c>
      <c r="G68" s="243"/>
      <c r="H68" s="236">
        <v>0.63700000000000001</v>
      </c>
    </row>
    <row r="69" spans="2:8" x14ac:dyDescent="0.2">
      <c r="B69" s="237" t="s">
        <v>342</v>
      </c>
      <c r="C69" s="238"/>
      <c r="D69" s="239"/>
      <c r="E69" s="240">
        <v>22460600</v>
      </c>
      <c r="F69" s="240">
        <v>23445900</v>
      </c>
      <c r="G69" s="243"/>
      <c r="H69" s="236">
        <v>0.755</v>
      </c>
    </row>
    <row r="70" spans="2:8" x14ac:dyDescent="0.2">
      <c r="B70" s="237" t="s">
        <v>343</v>
      </c>
      <c r="C70" s="238"/>
      <c r="D70" s="239"/>
      <c r="E70" s="240">
        <v>24600497.144575384</v>
      </c>
      <c r="F70" s="240">
        <v>25679670</v>
      </c>
      <c r="G70" s="243"/>
      <c r="H70" s="236">
        <v>0.747</v>
      </c>
    </row>
  </sheetData>
  <mergeCells count="27">
    <mergeCell ref="B22:C22"/>
    <mergeCell ref="B2:E2"/>
    <mergeCell ref="B3:E3"/>
    <mergeCell ref="B19:C19"/>
    <mergeCell ref="B20:C20"/>
    <mergeCell ref="B21:C21"/>
    <mergeCell ref="B35:C35"/>
    <mergeCell ref="B23:C23"/>
    <mergeCell ref="B24:C24"/>
    <mergeCell ref="B25:C25"/>
    <mergeCell ref="B26:C26"/>
    <mergeCell ref="B27:C27"/>
    <mergeCell ref="B28:C28"/>
    <mergeCell ref="B29:C29"/>
    <mergeCell ref="B31:C31"/>
    <mergeCell ref="B32:C32"/>
    <mergeCell ref="B33:C33"/>
    <mergeCell ref="B34:C34"/>
    <mergeCell ref="B43:C43"/>
    <mergeCell ref="B44:C44"/>
    <mergeCell ref="E49:F49"/>
    <mergeCell ref="B36:C36"/>
    <mergeCell ref="B37:C37"/>
    <mergeCell ref="B38:C38"/>
    <mergeCell ref="B39:C39"/>
    <mergeCell ref="B40:C40"/>
    <mergeCell ref="B41:C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D4" sqref="D4:L4"/>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0"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8" t="s">
        <v>229</v>
      </c>
      <c r="D3" s="218" t="s">
        <v>9</v>
      </c>
    </row>
    <row r="4" spans="1:38" ht="15" x14ac:dyDescent="0.2">
      <c r="C4" s="221">
        <v>1</v>
      </c>
      <c r="D4" s="418" t="s">
        <v>700</v>
      </c>
      <c r="E4" s="419"/>
      <c r="F4" s="419"/>
      <c r="G4" s="419"/>
      <c r="H4" s="419"/>
      <c r="I4" s="419"/>
      <c r="J4" s="419"/>
      <c r="K4" s="419"/>
      <c r="L4" s="419"/>
    </row>
    <row r="5" spans="1:38" ht="15" x14ac:dyDescent="0.2">
      <c r="C5" s="221"/>
      <c r="D5" s="418"/>
      <c r="E5" s="419"/>
      <c r="F5" s="419"/>
      <c r="G5" s="419"/>
      <c r="H5" s="419"/>
      <c r="I5" s="419"/>
      <c r="J5" s="419"/>
      <c r="K5" s="419"/>
      <c r="L5" s="419"/>
    </row>
    <row r="6" spans="1:38" ht="15" x14ac:dyDescent="0.2">
      <c r="C6" s="221"/>
      <c r="D6" s="418"/>
      <c r="E6" s="419"/>
      <c r="F6" s="419"/>
      <c r="G6" s="419"/>
      <c r="H6" s="419"/>
      <c r="I6" s="419"/>
      <c r="J6" s="419"/>
      <c r="K6" s="419"/>
      <c r="L6" s="419"/>
    </row>
    <row r="7" spans="1:38" ht="15" x14ac:dyDescent="0.2">
      <c r="C7" s="221"/>
      <c r="D7" s="418"/>
      <c r="E7" s="419"/>
      <c r="F7" s="419"/>
      <c r="G7" s="419"/>
      <c r="H7" s="419"/>
      <c r="I7" s="419"/>
      <c r="J7" s="419"/>
      <c r="K7" s="419"/>
      <c r="L7" s="419"/>
    </row>
    <row r="8" spans="1:38" ht="15" x14ac:dyDescent="0.2">
      <c r="C8" s="221"/>
      <c r="D8" s="418"/>
      <c r="E8" s="419"/>
      <c r="F8" s="419"/>
      <c r="G8" s="419"/>
      <c r="H8" s="419"/>
      <c r="I8" s="419"/>
      <c r="J8" s="419"/>
      <c r="K8" s="419"/>
      <c r="L8" s="419"/>
    </row>
    <row r="9" spans="1:38" ht="15" x14ac:dyDescent="0.2">
      <c r="C9" s="221"/>
      <c r="D9" s="418"/>
      <c r="E9" s="419"/>
      <c r="F9" s="419"/>
      <c r="G9" s="419"/>
      <c r="H9" s="419"/>
      <c r="I9" s="419"/>
      <c r="J9" s="419"/>
      <c r="K9" s="419"/>
      <c r="L9" s="419"/>
    </row>
    <row r="10" spans="1:38" ht="15" x14ac:dyDescent="0.2">
      <c r="C10" s="221"/>
      <c r="D10" s="418"/>
      <c r="E10" s="419"/>
      <c r="F10" s="419"/>
      <c r="G10" s="419"/>
      <c r="H10" s="419"/>
      <c r="I10" s="419"/>
      <c r="J10" s="419"/>
      <c r="K10" s="419"/>
      <c r="L10" s="419"/>
    </row>
    <row r="11" spans="1:38" ht="15" x14ac:dyDescent="0.2">
      <c r="C11" s="221"/>
      <c r="D11" s="418"/>
      <c r="E11" s="419"/>
      <c r="F11" s="419"/>
      <c r="G11" s="419"/>
      <c r="H11" s="419"/>
      <c r="I11" s="419"/>
      <c r="J11" s="419"/>
      <c r="K11" s="419"/>
      <c r="L11" s="419"/>
    </row>
    <row r="12" spans="1:38" ht="15" x14ac:dyDescent="0.2">
      <c r="C12" s="221"/>
      <c r="D12" s="418"/>
      <c r="E12" s="419"/>
      <c r="F12" s="419"/>
      <c r="G12" s="419"/>
      <c r="H12" s="419"/>
      <c r="I12" s="419"/>
      <c r="J12" s="419"/>
      <c r="K12" s="419"/>
      <c r="L12" s="419"/>
    </row>
    <row r="13" spans="1:38" ht="15" x14ac:dyDescent="0.2">
      <c r="C13" s="221"/>
      <c r="D13" s="418"/>
      <c r="E13" s="419"/>
      <c r="F13" s="419"/>
      <c r="G13" s="419"/>
      <c r="H13" s="419"/>
      <c r="I13" s="419"/>
      <c r="J13" s="419"/>
      <c r="K13" s="419"/>
      <c r="L13" s="41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E28" sqref="E2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CECB43BB-4E3A-454D-A73B-E9C83233821B}">
  <ds:schemaRefs>
    <ds:schemaRef ds:uri="http://schemas.microsoft.com/sharepoint/v3/contenttype/forms"/>
  </ds:schemaRefs>
</ds:datastoreItem>
</file>

<file path=customXml/itemProps2.xml><?xml version="1.0" encoding="utf-8"?>
<ds:datastoreItem xmlns:ds="http://schemas.openxmlformats.org/officeDocument/2006/customXml" ds:itemID="{6DC79C32-63EC-4C5F-8255-63DF22E2A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002602-3307-4785-95F4-6DDEDC35DB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vt:lpstr>
      <vt:lpstr>Data Summary</vt:lpstr>
      <vt:lpstr>PS</vt:lpstr>
      <vt:lpstr>Reference Source Info</vt:lpstr>
      <vt:lpstr>DQI</vt:lpstr>
      <vt:lpstr>Calculations Sheet</vt:lpstr>
      <vt:lpstr>Conversions</vt:lpstr>
      <vt:lpstr>Assumptions</vt:lpstr>
      <vt:lpstr>Chart</vt:lpstr>
      <vt:lpstr>GaBi 5 Import</vt:lpstr>
      <vt:lpstr>Sheet1</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Schivley, Greg</dc:creator>
  <cp:lastModifiedBy>Krynock, Michelle M. (CONTR)</cp:lastModifiedBy>
  <dcterms:created xsi:type="dcterms:W3CDTF">2013-07-29T22:02:44Z</dcterms:created>
  <dcterms:modified xsi:type="dcterms:W3CDTF">2017-01-03T20:30:12Z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