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prod75-share2/sites/OSAP/Energy Analysis Collaboration/LCA/Unit Process Development/NETL_Review/NG 2018/Ready for Review/"/>
    </mc:Choice>
  </mc:AlternateContent>
  <xr:revisionPtr revIDLastSave="0" documentId="10_ncr:100000_{A08208EA-6CA5-4DD4-9E93-812544B8D764}" xr6:coauthVersionLast="31" xr6:coauthVersionMax="31" xr10:uidLastSave="{00000000-0000-0000-0000-000000000000}"/>
  <bookViews>
    <workbookView xWindow="0" yWindow="0" windowWidth="18480" windowHeight="8250" activeTab="4" xr2:uid="{00000000-000D-0000-FFFF-FFFF00000000}"/>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0" r:id="rId9"/>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0" i="2" l="1"/>
  <c r="E99" i="2"/>
  <c r="E87" i="2"/>
  <c r="E101" i="2"/>
  <c r="E98" i="2"/>
  <c r="E97" i="2"/>
  <c r="C7" i="3" l="1"/>
  <c r="E23" i="2"/>
  <c r="C71" i="3"/>
  <c r="E94" i="2"/>
  <c r="C16" i="3"/>
  <c r="E32" i="2"/>
  <c r="E163" i="2"/>
  <c r="G301" i="2"/>
  <c r="I301" i="2" s="1"/>
  <c r="D4" i="3"/>
  <c r="E4" i="3"/>
  <c r="D6" i="7"/>
  <c r="E93" i="2"/>
  <c r="C62" i="3"/>
  <c r="E78" i="2"/>
  <c r="C10" i="3"/>
  <c r="E26" i="2"/>
  <c r="E8" i="3"/>
  <c r="G24" i="2"/>
  <c r="E7" i="3"/>
  <c r="G23" i="2"/>
  <c r="E71" i="3"/>
  <c r="G94" i="2"/>
  <c r="G97" i="2"/>
  <c r="G87" i="2"/>
  <c r="E54" i="3"/>
  <c r="G70" i="2"/>
  <c r="G201" i="2"/>
  <c r="G93" i="2"/>
  <c r="C10" i="7"/>
  <c r="D8" i="3"/>
  <c r="F24" i="2"/>
  <c r="D7" i="3"/>
  <c r="F23" i="2"/>
  <c r="D71" i="3"/>
  <c r="F94" i="2"/>
  <c r="F93" i="2"/>
  <c r="C8" i="3"/>
  <c r="E24" i="2"/>
  <c r="B97" i="2"/>
  <c r="B96" i="2"/>
  <c r="B95" i="2"/>
  <c r="B94" i="2"/>
  <c r="E15" i="3"/>
  <c r="G31" i="2"/>
  <c r="E11" i="3"/>
  <c r="G27" i="2"/>
  <c r="E12" i="3"/>
  <c r="G28" i="2"/>
  <c r="E13" i="3"/>
  <c r="G29" i="2"/>
  <c r="E14" i="3"/>
  <c r="G30" i="2"/>
  <c r="E16" i="3"/>
  <c r="G32" i="2"/>
  <c r="E17" i="3"/>
  <c r="G33" i="2"/>
  <c r="E18" i="3"/>
  <c r="G34" i="2"/>
  <c r="G165" i="2"/>
  <c r="E19" i="3"/>
  <c r="G35" i="2"/>
  <c r="E20" i="3"/>
  <c r="G36" i="2"/>
  <c r="E21" i="3"/>
  <c r="G37" i="2"/>
  <c r="E22" i="3"/>
  <c r="G38" i="2"/>
  <c r="E23" i="3"/>
  <c r="G39" i="2"/>
  <c r="E24" i="3"/>
  <c r="G40" i="2"/>
  <c r="E25" i="3"/>
  <c r="G41" i="2"/>
  <c r="E26" i="3"/>
  <c r="G42" i="2"/>
  <c r="G173" i="2"/>
  <c r="E27" i="3"/>
  <c r="G43" i="2"/>
  <c r="E28" i="3"/>
  <c r="G44" i="2"/>
  <c r="E29" i="3"/>
  <c r="G45" i="2"/>
  <c r="E30" i="3"/>
  <c r="G46" i="2"/>
  <c r="E31" i="3"/>
  <c r="G47" i="2"/>
  <c r="E32" i="3"/>
  <c r="G48" i="2"/>
  <c r="E33" i="3"/>
  <c r="G49" i="2"/>
  <c r="E34" i="3"/>
  <c r="G50" i="2"/>
  <c r="G181" i="2"/>
  <c r="E35" i="3"/>
  <c r="G51" i="2"/>
  <c r="E36" i="3"/>
  <c r="G52" i="2"/>
  <c r="E37" i="3"/>
  <c r="G53" i="2"/>
  <c r="E38" i="3"/>
  <c r="G54" i="2"/>
  <c r="E39" i="3"/>
  <c r="G55" i="2"/>
  <c r="E40" i="3"/>
  <c r="G56" i="2"/>
  <c r="E41" i="3"/>
  <c r="G57" i="2"/>
  <c r="E42" i="3"/>
  <c r="G58" i="2"/>
  <c r="G189" i="2"/>
  <c r="E43" i="3"/>
  <c r="G59" i="2"/>
  <c r="E44" i="3"/>
  <c r="G60" i="2"/>
  <c r="E45" i="3"/>
  <c r="G61" i="2"/>
  <c r="E46" i="3"/>
  <c r="G62" i="2"/>
  <c r="E47" i="3"/>
  <c r="G63" i="2"/>
  <c r="E48" i="3"/>
  <c r="G64" i="2"/>
  <c r="E49" i="3"/>
  <c r="G65" i="2"/>
  <c r="E50" i="3"/>
  <c r="G66" i="2"/>
  <c r="E51" i="3"/>
  <c r="G67" i="2"/>
  <c r="E52" i="3"/>
  <c r="G68" i="2"/>
  <c r="E53" i="3"/>
  <c r="G69" i="2"/>
  <c r="E55" i="3"/>
  <c r="G71" i="2"/>
  <c r="E56" i="3"/>
  <c r="G72" i="2"/>
  <c r="E57" i="3"/>
  <c r="G73" i="2"/>
  <c r="E58" i="3"/>
  <c r="G74" i="2"/>
  <c r="E59" i="3"/>
  <c r="G75" i="2"/>
  <c r="E60" i="3"/>
  <c r="G76" i="2"/>
  <c r="E61" i="3"/>
  <c r="G77" i="2"/>
  <c r="E62" i="3"/>
  <c r="G78" i="2"/>
  <c r="E63" i="3"/>
  <c r="G79" i="2"/>
  <c r="E64" i="3"/>
  <c r="G80" i="2"/>
  <c r="E65" i="3"/>
  <c r="G81" i="2"/>
  <c r="E10" i="3"/>
  <c r="G26" i="2"/>
  <c r="G157" i="2"/>
  <c r="D11" i="3"/>
  <c r="F27" i="2"/>
  <c r="D12" i="3"/>
  <c r="F28" i="2"/>
  <c r="D13" i="3"/>
  <c r="F29" i="2"/>
  <c r="D14" i="3"/>
  <c r="F30" i="2"/>
  <c r="D15" i="3"/>
  <c r="F31" i="2"/>
  <c r="D16" i="3"/>
  <c r="F32" i="2"/>
  <c r="D17" i="3"/>
  <c r="F33" i="2"/>
  <c r="D18" i="3"/>
  <c r="F34" i="2"/>
  <c r="D19" i="3"/>
  <c r="F35" i="2"/>
  <c r="D20" i="3"/>
  <c r="F36" i="2"/>
  <c r="D21" i="3"/>
  <c r="F37" i="2"/>
  <c r="D22" i="3"/>
  <c r="F38" i="2"/>
  <c r="D23" i="3"/>
  <c r="F39" i="2"/>
  <c r="D24" i="3"/>
  <c r="F40" i="2"/>
  <c r="D25" i="3"/>
  <c r="F41" i="2"/>
  <c r="D26" i="3"/>
  <c r="F42" i="2"/>
  <c r="D27" i="3"/>
  <c r="F43" i="2"/>
  <c r="D28" i="3"/>
  <c r="F44" i="2"/>
  <c r="D29" i="3"/>
  <c r="F45" i="2"/>
  <c r="D30" i="3"/>
  <c r="F46" i="2"/>
  <c r="D31" i="3"/>
  <c r="F47" i="2"/>
  <c r="D32" i="3"/>
  <c r="F48" i="2"/>
  <c r="D33" i="3"/>
  <c r="F49" i="2"/>
  <c r="D34" i="3"/>
  <c r="F50" i="2"/>
  <c r="D35" i="3"/>
  <c r="F51" i="2"/>
  <c r="D36" i="3"/>
  <c r="F52" i="2"/>
  <c r="D37" i="3"/>
  <c r="F53" i="2"/>
  <c r="D38" i="3"/>
  <c r="F54" i="2"/>
  <c r="D39" i="3"/>
  <c r="F55" i="2"/>
  <c r="D40" i="3"/>
  <c r="F56" i="2"/>
  <c r="D41" i="3"/>
  <c r="F57" i="2"/>
  <c r="D42" i="3"/>
  <c r="F58" i="2"/>
  <c r="D43" i="3"/>
  <c r="F59" i="2"/>
  <c r="D44" i="3"/>
  <c r="F60" i="2"/>
  <c r="D45" i="3"/>
  <c r="F61" i="2"/>
  <c r="D46" i="3"/>
  <c r="F62" i="2"/>
  <c r="D47" i="3"/>
  <c r="F63" i="2"/>
  <c r="D48" i="3"/>
  <c r="F64" i="2"/>
  <c r="D49" i="3"/>
  <c r="F65" i="2"/>
  <c r="D50" i="3"/>
  <c r="F66" i="2"/>
  <c r="D51" i="3"/>
  <c r="F67" i="2"/>
  <c r="D52" i="3"/>
  <c r="F68" i="2"/>
  <c r="D53" i="3"/>
  <c r="F69" i="2"/>
  <c r="D54" i="3"/>
  <c r="F70" i="2"/>
  <c r="D55" i="3"/>
  <c r="F71" i="2"/>
  <c r="D56" i="3"/>
  <c r="F72" i="2"/>
  <c r="D57" i="3"/>
  <c r="F73" i="2"/>
  <c r="D58" i="3"/>
  <c r="F74" i="2"/>
  <c r="D59" i="3"/>
  <c r="F75" i="2"/>
  <c r="D60" i="3"/>
  <c r="F76" i="2"/>
  <c r="D61" i="3"/>
  <c r="F77" i="2"/>
  <c r="D62" i="3"/>
  <c r="F78" i="2"/>
  <c r="D63" i="3"/>
  <c r="F79" i="2"/>
  <c r="D64" i="3"/>
  <c r="F80" i="2"/>
  <c r="D65" i="3"/>
  <c r="F81" i="2"/>
  <c r="D10" i="3"/>
  <c r="F26" i="2"/>
  <c r="C65" i="3"/>
  <c r="E81" i="2"/>
  <c r="C11" i="3"/>
  <c r="E27" i="2"/>
  <c r="E102" i="2"/>
  <c r="G240" i="2"/>
  <c r="C12" i="3"/>
  <c r="E28" i="2"/>
  <c r="E159" i="2"/>
  <c r="C13" i="3"/>
  <c r="E29" i="2"/>
  <c r="E160" i="2"/>
  <c r="C14" i="3"/>
  <c r="E30" i="2"/>
  <c r="C15" i="3"/>
  <c r="E31" i="2"/>
  <c r="C17" i="3"/>
  <c r="E33" i="2"/>
  <c r="E164" i="2"/>
  <c r="C18" i="3"/>
  <c r="E34" i="2"/>
  <c r="C19" i="3"/>
  <c r="E35" i="2"/>
  <c r="C20" i="3"/>
  <c r="E36" i="2"/>
  <c r="C21" i="3"/>
  <c r="E37" i="2"/>
  <c r="C22" i="3"/>
  <c r="E38" i="2"/>
  <c r="C23" i="3"/>
  <c r="E39" i="2"/>
  <c r="C24" i="3"/>
  <c r="E40" i="2"/>
  <c r="E171" i="2"/>
  <c r="C25" i="3"/>
  <c r="E41" i="2"/>
  <c r="C26" i="3"/>
  <c r="E42" i="2"/>
  <c r="C27" i="3"/>
  <c r="E43" i="2"/>
  <c r="E118" i="2"/>
  <c r="G256" i="2"/>
  <c r="I256" i="2" s="1"/>
  <c r="C28" i="3"/>
  <c r="E44" i="2"/>
  <c r="E175" i="2"/>
  <c r="C29" i="3"/>
  <c r="E45" i="2"/>
  <c r="E176" i="2"/>
  <c r="C30" i="3"/>
  <c r="E46" i="2"/>
  <c r="C31" i="3"/>
  <c r="E47" i="2"/>
  <c r="C32" i="3"/>
  <c r="E48" i="2"/>
  <c r="C33" i="3"/>
  <c r="E49" i="2"/>
  <c r="E180" i="2"/>
  <c r="C34" i="3"/>
  <c r="E50" i="2"/>
  <c r="C35" i="3"/>
  <c r="E51" i="2"/>
  <c r="C36" i="3"/>
  <c r="E52" i="2"/>
  <c r="C37" i="3"/>
  <c r="E53" i="2"/>
  <c r="C38" i="3"/>
  <c r="E54" i="2"/>
  <c r="C39" i="3"/>
  <c r="E55" i="2"/>
  <c r="C40" i="3"/>
  <c r="E56" i="2"/>
  <c r="E187" i="2"/>
  <c r="C41" i="3"/>
  <c r="E57" i="2"/>
  <c r="E188" i="2"/>
  <c r="C42" i="3"/>
  <c r="E58" i="2"/>
  <c r="C43" i="3"/>
  <c r="E59" i="2"/>
  <c r="E134" i="2"/>
  <c r="G272" i="2"/>
  <c r="I272" i="2" s="1"/>
  <c r="C44" i="3"/>
  <c r="E60" i="2"/>
  <c r="E191" i="2"/>
  <c r="C45" i="3"/>
  <c r="E61" i="2"/>
  <c r="E192" i="2"/>
  <c r="C46" i="3"/>
  <c r="E62" i="2"/>
  <c r="C47" i="3"/>
  <c r="E63" i="2"/>
  <c r="C48" i="3"/>
  <c r="E64" i="2"/>
  <c r="C49" i="3"/>
  <c r="E65" i="2"/>
  <c r="E196" i="2"/>
  <c r="C50" i="3"/>
  <c r="E66" i="2"/>
  <c r="C51" i="3"/>
  <c r="E67" i="2"/>
  <c r="C52" i="3"/>
  <c r="E68" i="2"/>
  <c r="E199" i="2"/>
  <c r="C53" i="3"/>
  <c r="E69" i="2"/>
  <c r="C54" i="3"/>
  <c r="E70" i="2"/>
  <c r="E201" i="2"/>
  <c r="C55" i="3"/>
  <c r="E71" i="2"/>
  <c r="E146" i="2"/>
  <c r="G284" i="2"/>
  <c r="I284" i="2" s="1"/>
  <c r="C56" i="3"/>
  <c r="E72" i="2"/>
  <c r="E203" i="2"/>
  <c r="C57" i="3"/>
  <c r="E73" i="2"/>
  <c r="E204" i="2"/>
  <c r="C58" i="3"/>
  <c r="E74" i="2"/>
  <c r="C59" i="3"/>
  <c r="E75" i="2"/>
  <c r="C60" i="3"/>
  <c r="E76" i="2"/>
  <c r="C61" i="3"/>
  <c r="E77" i="2"/>
  <c r="E209" i="2"/>
  <c r="C63" i="3"/>
  <c r="E79" i="2"/>
  <c r="C64" i="3"/>
  <c r="E80" i="2"/>
  <c r="E211" i="2"/>
  <c r="C67" i="3"/>
  <c r="E89" i="2"/>
  <c r="C68" i="3"/>
  <c r="E90" i="2"/>
  <c r="C69" i="3"/>
  <c r="E91" i="2"/>
  <c r="C70" i="3"/>
  <c r="E92" i="2"/>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J121"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I121"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B82" i="2"/>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K4" i="5"/>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I123" i="5"/>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8" i="2"/>
  <c r="B89" i="2"/>
  <c r="B90" i="2"/>
  <c r="B91" i="2"/>
  <c r="B92" i="2"/>
  <c r="B93"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213" i="2"/>
  <c r="B214" i="2"/>
  <c r="B215" i="2"/>
  <c r="B21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C6" i="3"/>
  <c r="E9" i="3"/>
  <c r="G25" i="2"/>
  <c r="D9" i="3"/>
  <c r="F25" i="2"/>
  <c r="D69" i="3"/>
  <c r="F91" i="2"/>
  <c r="D68" i="3"/>
  <c r="F90" i="2"/>
  <c r="E67" i="3"/>
  <c r="G89" i="2"/>
  <c r="G146" i="2"/>
  <c r="E6" i="3"/>
  <c r="D67" i="3"/>
  <c r="F89" i="2"/>
  <c r="E70" i="3"/>
  <c r="G92" i="2"/>
  <c r="E66" i="3"/>
  <c r="G88" i="2"/>
  <c r="G100" i="2"/>
  <c r="E68" i="3"/>
  <c r="G90" i="2"/>
  <c r="D6" i="3"/>
  <c r="D70" i="3"/>
  <c r="F92" i="2"/>
  <c r="D66" i="3"/>
  <c r="F88" i="2"/>
  <c r="E69" i="3"/>
  <c r="G91" i="2"/>
  <c r="G302" i="2"/>
  <c r="I302" i="2" s="1"/>
  <c r="C66" i="3"/>
  <c r="E88" i="2"/>
  <c r="E155" i="2"/>
  <c r="G293" i="2"/>
  <c r="I293" i="2" s="1"/>
  <c r="E154" i="2"/>
  <c r="G292" i="2"/>
  <c r="I292" i="2" s="1"/>
  <c r="C9" i="3"/>
  <c r="E25" i="2"/>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F5" i="3"/>
  <c r="C5" i="3"/>
  <c r="I358" i="2"/>
  <c r="H358" i="2"/>
  <c r="G358" i="2"/>
  <c r="H357" i="2"/>
  <c r="G357" i="2"/>
  <c r="I357" i="2"/>
  <c r="I356" i="2"/>
  <c r="H356" i="2"/>
  <c r="G356" i="2"/>
  <c r="H355" i="2"/>
  <c r="G355" i="2"/>
  <c r="I355" i="2"/>
  <c r="H354" i="2"/>
  <c r="G354" i="2"/>
  <c r="I354" i="2"/>
  <c r="H353" i="2"/>
  <c r="G353" i="2"/>
  <c r="I353" i="2"/>
  <c r="H352" i="2"/>
  <c r="G352" i="2"/>
  <c r="I352" i="2"/>
  <c r="H351" i="2"/>
  <c r="G351" i="2"/>
  <c r="I351" i="2"/>
  <c r="H350" i="2"/>
  <c r="H349" i="2"/>
  <c r="H348" i="2"/>
  <c r="H294" i="2"/>
  <c r="H293" i="2"/>
  <c r="H292" i="2"/>
  <c r="H291" i="2"/>
  <c r="H290" i="2"/>
  <c r="H289" i="2"/>
  <c r="H288" i="2"/>
  <c r="H287" i="2"/>
  <c r="H286" i="2"/>
  <c r="H285" i="2"/>
  <c r="H284" i="2"/>
  <c r="H283" i="2"/>
  <c r="H282" i="2"/>
  <c r="H281" i="2"/>
  <c r="H280" i="2"/>
  <c r="H279" i="2"/>
  <c r="H278" i="2"/>
  <c r="H277" i="2"/>
  <c r="H276" i="2"/>
  <c r="H246" i="2"/>
  <c r="H245" i="2"/>
  <c r="H244" i="2"/>
  <c r="H243" i="2"/>
  <c r="H242" i="2"/>
  <c r="H241" i="2"/>
  <c r="H240" i="2"/>
  <c r="H239" i="2"/>
  <c r="H238" i="2"/>
  <c r="H237" i="2"/>
  <c r="I230" i="2"/>
  <c r="H230" i="2"/>
  <c r="G230" i="2"/>
  <c r="I229" i="2"/>
  <c r="H229" i="2"/>
  <c r="G229" i="2"/>
  <c r="H228" i="2"/>
  <c r="G228" i="2"/>
  <c r="I228" i="2"/>
  <c r="H227" i="2"/>
  <c r="G227" i="2"/>
  <c r="I227" i="2"/>
  <c r="H226" i="2"/>
  <c r="G226" i="2"/>
  <c r="I226" i="2"/>
  <c r="H225" i="2"/>
  <c r="H224" i="2"/>
  <c r="H223" i="2"/>
  <c r="H222" i="2"/>
  <c r="B23" i="2"/>
  <c r="G11" i="2"/>
  <c r="N5" i="2"/>
  <c r="D4" i="1"/>
  <c r="D3" i="1"/>
  <c r="C25" i="1"/>
  <c r="G309" i="2"/>
  <c r="I309" i="2" s="1"/>
  <c r="E106" i="2"/>
  <c r="G314" i="2"/>
  <c r="I314" i="2" s="1"/>
  <c r="E110" i="2"/>
  <c r="G318" i="2"/>
  <c r="I318" i="2" s="1"/>
  <c r="E114" i="2"/>
  <c r="G326" i="2"/>
  <c r="I326" i="2" s="1"/>
  <c r="E156" i="2"/>
  <c r="G294" i="2"/>
  <c r="I294" i="2" s="1"/>
  <c r="E143" i="2"/>
  <c r="G281" i="2"/>
  <c r="I281" i="2" s="1"/>
  <c r="E147" i="2"/>
  <c r="G285" i="2"/>
  <c r="I285" i="2" s="1"/>
  <c r="G101" i="2"/>
  <c r="G133" i="2"/>
  <c r="G108" i="2"/>
  <c r="G124" i="2"/>
  <c r="G140" i="2"/>
  <c r="G156" i="2"/>
  <c r="G128" i="2"/>
  <c r="G144" i="2"/>
  <c r="G109" i="2"/>
  <c r="G125" i="2"/>
  <c r="G119" i="2"/>
  <c r="G135" i="2"/>
  <c r="G110" i="2"/>
  <c r="G126" i="2"/>
  <c r="G141" i="2"/>
  <c r="G132" i="2"/>
  <c r="G148" i="2"/>
  <c r="G121" i="2"/>
  <c r="G111" i="2"/>
  <c r="G127" i="2"/>
  <c r="G102" i="2"/>
  <c r="G118" i="2"/>
  <c r="G134" i="2"/>
  <c r="G150" i="2"/>
  <c r="G104" i="2"/>
  <c r="G120" i="2"/>
  <c r="G136" i="2"/>
  <c r="G147" i="2"/>
  <c r="G122" i="2"/>
  <c r="G138" i="2"/>
  <c r="G142" i="2"/>
  <c r="F100" i="2"/>
  <c r="E116" i="2"/>
  <c r="E108" i="2"/>
  <c r="E112" i="2"/>
  <c r="E104" i="2"/>
  <c r="E120" i="2"/>
  <c r="E128" i="2"/>
  <c r="E136" i="2"/>
  <c r="E140" i="2"/>
  <c r="E149" i="2"/>
  <c r="G287" i="2"/>
  <c r="I287" i="2" s="1"/>
  <c r="E107" i="2"/>
  <c r="E115" i="2"/>
  <c r="G253" i="2"/>
  <c r="I253" i="2" s="1"/>
  <c r="E121" i="2"/>
  <c r="G329" i="2"/>
  <c r="I329" i="2" s="1"/>
  <c r="E125" i="2"/>
  <c r="G263" i="2"/>
  <c r="I263" i="2" s="1"/>
  <c r="E129" i="2"/>
  <c r="G267" i="2"/>
  <c r="I267" i="2" s="1"/>
  <c r="E133" i="2"/>
  <c r="G341" i="2"/>
  <c r="I341" i="2" s="1"/>
  <c r="E137" i="2"/>
  <c r="E141" i="2"/>
  <c r="G349" i="2"/>
  <c r="I349" i="2" s="1"/>
  <c r="E144" i="2"/>
  <c r="G282" i="2"/>
  <c r="I282" i="2" s="1"/>
  <c r="E152" i="2"/>
  <c r="G290" i="2"/>
  <c r="I290" i="2" s="1"/>
  <c r="G139" i="2"/>
  <c r="E105" i="2"/>
  <c r="G313" i="2"/>
  <c r="I313" i="2" s="1"/>
  <c r="E113" i="2"/>
  <c r="G251" i="2"/>
  <c r="I251" i="2" s="1"/>
  <c r="E122" i="2"/>
  <c r="G330" i="2"/>
  <c r="I330" i="2" s="1"/>
  <c r="E126" i="2"/>
  <c r="G334" i="2"/>
  <c r="I334" i="2" s="1"/>
  <c r="E130" i="2"/>
  <c r="G268" i="2"/>
  <c r="I268" i="2" s="1"/>
  <c r="E138" i="2"/>
  <c r="E142" i="2"/>
  <c r="E145" i="2"/>
  <c r="G283" i="2"/>
  <c r="I283" i="2" s="1"/>
  <c r="E150" i="2"/>
  <c r="G288" i="2"/>
  <c r="I288" i="2" s="1"/>
  <c r="E109" i="2"/>
  <c r="E117" i="2"/>
  <c r="G255" i="2"/>
  <c r="I255" i="2" s="1"/>
  <c r="E124" i="2"/>
  <c r="E132" i="2"/>
  <c r="E103" i="2"/>
  <c r="E111" i="2"/>
  <c r="E119" i="2"/>
  <c r="E123" i="2"/>
  <c r="G261" i="2"/>
  <c r="I261" i="2" s="1"/>
  <c r="E127" i="2"/>
  <c r="E131" i="2"/>
  <c r="G269" i="2"/>
  <c r="I269" i="2" s="1"/>
  <c r="E135" i="2"/>
  <c r="E139" i="2"/>
  <c r="G347" i="2"/>
  <c r="I347" i="2" s="1"/>
  <c r="E148" i="2"/>
  <c r="G286" i="2"/>
  <c r="I286" i="2" s="1"/>
  <c r="G337" i="2"/>
  <c r="I337" i="2" s="1"/>
  <c r="G260" i="2"/>
  <c r="I260" i="2" s="1"/>
  <c r="G248" i="2"/>
  <c r="I248" i="2" s="1"/>
  <c r="G154" i="2"/>
  <c r="G116" i="2"/>
  <c r="G152" i="2"/>
  <c r="G113" i="2"/>
  <c r="G129" i="2"/>
  <c r="G123" i="2"/>
  <c r="G151" i="2"/>
  <c r="G105" i="2"/>
  <c r="G137" i="2"/>
  <c r="G149" i="2"/>
  <c r="G107" i="2"/>
  <c r="G153" i="2"/>
  <c r="G115" i="2"/>
  <c r="G117" i="2"/>
  <c r="G112" i="2"/>
  <c r="G103" i="2"/>
  <c r="G244" i="2"/>
  <c r="I244" i="2" s="1"/>
  <c r="G131" i="2"/>
  <c r="G143" i="2"/>
  <c r="G145" i="2"/>
  <c r="G155" i="2"/>
  <c r="G114" i="2"/>
  <c r="G298" i="2"/>
  <c r="I298" i="2" s="1"/>
  <c r="G297" i="2"/>
  <c r="I297" i="2" s="1"/>
  <c r="G130" i="2"/>
  <c r="G278" i="2"/>
  <c r="I278" i="2" s="1"/>
  <c r="G252" i="2"/>
  <c r="I252" i="2" s="1"/>
  <c r="G241" i="2"/>
  <c r="I241" i="2" s="1"/>
  <c r="G245" i="2"/>
  <c r="I245" i="2" s="1"/>
  <c r="G274" i="2"/>
  <c r="I274" i="2" s="1"/>
  <c r="G280" i="2"/>
  <c r="I280" i="2" s="1"/>
  <c r="G265" i="2"/>
  <c r="I265" i="2" s="1"/>
  <c r="G238" i="2"/>
  <c r="I238" i="2" s="1"/>
  <c r="G325" i="2"/>
  <c r="I325" i="2" s="1"/>
  <c r="G342" i="2"/>
  <c r="I342" i="2" s="1"/>
  <c r="G257" i="2"/>
  <c r="I257" i="2" s="1"/>
  <c r="G262" i="2"/>
  <c r="I262" i="2" s="1"/>
  <c r="G339" i="2"/>
  <c r="I339" i="2" s="1"/>
  <c r="G249" i="2"/>
  <c r="I249" i="2" s="1"/>
  <c r="G276" i="2"/>
  <c r="I276" i="2" s="1"/>
  <c r="G279" i="2"/>
  <c r="I279" i="2" s="1"/>
  <c r="G242" i="2"/>
  <c r="I242" i="2" s="1"/>
  <c r="G270" i="2"/>
  <c r="I270" i="2" s="1"/>
  <c r="G247" i="2"/>
  <c r="I247" i="2" s="1"/>
  <c r="G277" i="2"/>
  <c r="I277" i="2" s="1"/>
  <c r="G243" i="2"/>
  <c r="I243" i="2" s="1"/>
  <c r="G266" i="2"/>
  <c r="I266" i="2" s="1"/>
  <c r="G273" i="2"/>
  <c r="I273" i="2" s="1"/>
  <c r="G271" i="2"/>
  <c r="I271" i="2" s="1"/>
  <c r="G264" i="2"/>
  <c r="I264" i="2" s="1"/>
  <c r="G246" i="2"/>
  <c r="I246" i="2" s="1"/>
  <c r="G258" i="2"/>
  <c r="I258" i="2" s="1"/>
  <c r="G275" i="2"/>
  <c r="I275" i="2" s="1"/>
  <c r="G259" i="2"/>
  <c r="I259" i="2" s="1"/>
  <c r="G254" i="2"/>
  <c r="I254" i="2" s="1"/>
  <c r="I240" i="2"/>
  <c r="G250" i="2"/>
  <c r="I250" i="2" s="1"/>
  <c r="E207" i="2"/>
  <c r="G345" i="2"/>
  <c r="I345" i="2" s="1"/>
  <c r="E151" i="2"/>
  <c r="G289" i="2"/>
  <c r="I289" i="2" s="1"/>
  <c r="E183" i="2"/>
  <c r="G321" i="2"/>
  <c r="I321" i="2" s="1"/>
  <c r="E172" i="2"/>
  <c r="G310" i="2"/>
  <c r="I310" i="2" s="1"/>
  <c r="E167" i="2"/>
  <c r="G305" i="2"/>
  <c r="I305" i="2" s="1"/>
  <c r="G197" i="2"/>
  <c r="G185" i="2"/>
  <c r="G177" i="2"/>
  <c r="G169" i="2"/>
  <c r="E157" i="2"/>
  <c r="G295" i="2"/>
  <c r="I295" i="2" s="1"/>
  <c r="E210" i="2"/>
  <c r="G348" i="2"/>
  <c r="I348" i="2" s="1"/>
  <c r="E208" i="2"/>
  <c r="G346" i="2"/>
  <c r="I346" i="2" s="1"/>
  <c r="E205" i="2"/>
  <c r="G343" i="2"/>
  <c r="I343" i="2" s="1"/>
  <c r="E200" i="2"/>
  <c r="G338" i="2"/>
  <c r="I338" i="2" s="1"/>
  <c r="E195" i="2"/>
  <c r="G333" i="2"/>
  <c r="I333" i="2" s="1"/>
  <c r="E184" i="2"/>
  <c r="G322" i="2"/>
  <c r="I322" i="2" s="1"/>
  <c r="E179" i="2"/>
  <c r="G317" i="2"/>
  <c r="I317" i="2" s="1"/>
  <c r="E168" i="2"/>
  <c r="G306" i="2"/>
  <c r="I306" i="2" s="1"/>
  <c r="G209" i="2"/>
  <c r="F97" i="2"/>
  <c r="F87" i="2"/>
  <c r="F98" i="2"/>
  <c r="G159" i="2"/>
  <c r="G158" i="2"/>
  <c r="G164" i="2"/>
  <c r="G168" i="2"/>
  <c r="G172" i="2"/>
  <c r="G176" i="2"/>
  <c r="G180" i="2"/>
  <c r="G184" i="2"/>
  <c r="G188" i="2"/>
  <c r="G192" i="2"/>
  <c r="G196" i="2"/>
  <c r="G200" i="2"/>
  <c r="G204" i="2"/>
  <c r="G208" i="2"/>
  <c r="G212" i="2"/>
  <c r="G106" i="2"/>
  <c r="G161" i="2"/>
  <c r="G163" i="2"/>
  <c r="G167" i="2"/>
  <c r="G171" i="2"/>
  <c r="G175" i="2"/>
  <c r="G179" i="2"/>
  <c r="G183" i="2"/>
  <c r="G187" i="2"/>
  <c r="G191" i="2"/>
  <c r="G195" i="2"/>
  <c r="G199" i="2"/>
  <c r="G203" i="2"/>
  <c r="G207" i="2"/>
  <c r="G211" i="2"/>
  <c r="G160" i="2"/>
  <c r="G162" i="2"/>
  <c r="G166" i="2"/>
  <c r="G170" i="2"/>
  <c r="G174" i="2"/>
  <c r="G178" i="2"/>
  <c r="G182" i="2"/>
  <c r="G186" i="2"/>
  <c r="G190" i="2"/>
  <c r="G194" i="2"/>
  <c r="G198" i="2"/>
  <c r="G202" i="2"/>
  <c r="G206" i="2"/>
  <c r="G210" i="2"/>
  <c r="G205" i="2"/>
  <c r="G193" i="2"/>
  <c r="G98" i="2"/>
  <c r="E153" i="2"/>
  <c r="G291" i="2"/>
  <c r="I291" i="2" s="1"/>
  <c r="E158" i="2"/>
  <c r="G296" i="2"/>
  <c r="I296" i="2" s="1"/>
  <c r="E162" i="2"/>
  <c r="G300" i="2"/>
  <c r="I300" i="2" s="1"/>
  <c r="E166" i="2"/>
  <c r="G304" i="2"/>
  <c r="I304" i="2" s="1"/>
  <c r="E170" i="2"/>
  <c r="G308" i="2"/>
  <c r="I308" i="2" s="1"/>
  <c r="E174" i="2"/>
  <c r="G312" i="2"/>
  <c r="I312" i="2" s="1"/>
  <c r="E178" i="2"/>
  <c r="G316" i="2"/>
  <c r="I316" i="2" s="1"/>
  <c r="E182" i="2"/>
  <c r="G320" i="2"/>
  <c r="I320" i="2" s="1"/>
  <c r="E186" i="2"/>
  <c r="G324" i="2"/>
  <c r="I324" i="2" s="1"/>
  <c r="E190" i="2"/>
  <c r="G328" i="2"/>
  <c r="I328" i="2" s="1"/>
  <c r="E194" i="2"/>
  <c r="G332" i="2"/>
  <c r="I332" i="2" s="1"/>
  <c r="E198" i="2"/>
  <c r="G336" i="2"/>
  <c r="I336" i="2" s="1"/>
  <c r="E202" i="2"/>
  <c r="G340" i="2"/>
  <c r="I340" i="2" s="1"/>
  <c r="E206" i="2"/>
  <c r="G344" i="2"/>
  <c r="I344" i="2" s="1"/>
  <c r="G239" i="2"/>
  <c r="I239" i="2" s="1"/>
  <c r="E212" i="2"/>
  <c r="G350" i="2"/>
  <c r="I350" i="2" s="1"/>
  <c r="E161" i="2"/>
  <c r="G299" i="2"/>
  <c r="I299" i="2" s="1"/>
  <c r="E165" i="2"/>
  <c r="G303" i="2"/>
  <c r="I303" i="2" s="1"/>
  <c r="E169" i="2"/>
  <c r="G307" i="2"/>
  <c r="I307" i="2" s="1"/>
  <c r="E173" i="2"/>
  <c r="G311" i="2"/>
  <c r="I311" i="2" s="1"/>
  <c r="E177" i="2"/>
  <c r="G315" i="2"/>
  <c r="I315" i="2" s="1"/>
  <c r="E181" i="2"/>
  <c r="G319" i="2"/>
  <c r="I319" i="2" s="1"/>
  <c r="E185" i="2"/>
  <c r="G323" i="2"/>
  <c r="I323" i="2" s="1"/>
  <c r="E189" i="2"/>
  <c r="G327" i="2"/>
  <c r="I327" i="2" s="1"/>
  <c r="E193" i="2"/>
  <c r="G331" i="2"/>
  <c r="I331" i="2" s="1"/>
  <c r="E197" i="2"/>
  <c r="G335" i="2"/>
  <c r="I335" i="2" s="1"/>
  <c r="E213" i="2"/>
  <c r="G222" i="2" s="1"/>
  <c r="I222" i="2" s="1"/>
  <c r="G237" i="2"/>
  <c r="I237" i="2" s="1"/>
  <c r="E216" i="2"/>
  <c r="G225" i="2" s="1"/>
  <c r="I225" i="2" s="1"/>
  <c r="E215" i="2"/>
  <c r="G224" i="2" s="1"/>
  <c r="I224" i="2" s="1"/>
  <c r="E214" i="2"/>
  <c r="G223" i="2" s="1"/>
  <c r="I223" i="2" s="1"/>
  <c r="F216" i="2"/>
  <c r="F213" i="2"/>
  <c r="F214" i="2"/>
  <c r="F99" i="2"/>
  <c r="F215" i="2"/>
  <c r="G99" i="2"/>
  <c r="G216" i="2"/>
  <c r="G215" i="2"/>
  <c r="G213" i="2"/>
  <c r="G214" i="2"/>
  <c r="F159" i="2"/>
  <c r="F163" i="2"/>
  <c r="F167" i="2"/>
  <c r="F171" i="2"/>
  <c r="F175" i="2"/>
  <c r="F179" i="2"/>
  <c r="F183" i="2"/>
  <c r="F187" i="2"/>
  <c r="F191" i="2"/>
  <c r="F195" i="2"/>
  <c r="F199" i="2"/>
  <c r="F203" i="2"/>
  <c r="F207" i="2"/>
  <c r="F211" i="2"/>
  <c r="F158" i="2"/>
  <c r="F162" i="2"/>
  <c r="F166" i="2"/>
  <c r="F170" i="2"/>
  <c r="F174" i="2"/>
  <c r="F178" i="2"/>
  <c r="F182" i="2"/>
  <c r="F186" i="2"/>
  <c r="F190" i="2"/>
  <c r="F194" i="2"/>
  <c r="F198" i="2"/>
  <c r="F202" i="2"/>
  <c r="F206" i="2"/>
  <c r="F210" i="2"/>
  <c r="F164" i="2"/>
  <c r="F169" i="2"/>
  <c r="F180" i="2"/>
  <c r="F185" i="2"/>
  <c r="F196" i="2"/>
  <c r="F201" i="2"/>
  <c r="F212" i="2"/>
  <c r="F126" i="2"/>
  <c r="F128" i="2"/>
  <c r="F148" i="2"/>
  <c r="F154" i="2"/>
  <c r="F118" i="2"/>
  <c r="F105" i="2"/>
  <c r="F122" i="2"/>
  <c r="F103" i="2"/>
  <c r="F112" i="2"/>
  <c r="F114" i="2"/>
  <c r="F125" i="2"/>
  <c r="F131" i="2"/>
  <c r="F123" i="2"/>
  <c r="F127" i="2"/>
  <c r="F168" i="2"/>
  <c r="F173" i="2"/>
  <c r="F184" i="2"/>
  <c r="F189" i="2"/>
  <c r="F200" i="2"/>
  <c r="F205" i="2"/>
  <c r="F134" i="2"/>
  <c r="F111" i="2"/>
  <c r="F142" i="2"/>
  <c r="F155" i="2"/>
  <c r="F121" i="2"/>
  <c r="F144" i="2"/>
  <c r="F117" i="2"/>
  <c r="F150" i="2"/>
  <c r="F119" i="2"/>
  <c r="F116" i="2"/>
  <c r="F133" i="2"/>
  <c r="F130" i="2"/>
  <c r="F145" i="2"/>
  <c r="F147" i="2"/>
  <c r="F161" i="2"/>
  <c r="F172" i="2"/>
  <c r="F177" i="2"/>
  <c r="F188" i="2"/>
  <c r="F193" i="2"/>
  <c r="F204" i="2"/>
  <c r="F209" i="2"/>
  <c r="F102" i="2"/>
  <c r="F120" i="2"/>
  <c r="F143" i="2"/>
  <c r="F110" i="2"/>
  <c r="F146" i="2"/>
  <c r="F129" i="2"/>
  <c r="F135" i="2"/>
  <c r="F109" i="2"/>
  <c r="F149" i="2"/>
  <c r="F106" i="2"/>
  <c r="F153" i="2"/>
  <c r="F132" i="2"/>
  <c r="F160" i="2"/>
  <c r="F165" i="2"/>
  <c r="F176" i="2"/>
  <c r="F181" i="2"/>
  <c r="F192" i="2"/>
  <c r="F197" i="2"/>
  <c r="F208" i="2"/>
  <c r="F157" i="2"/>
  <c r="F124" i="2"/>
  <c r="F151" i="2"/>
  <c r="F136" i="2"/>
  <c r="F156" i="2"/>
  <c r="F152" i="2"/>
  <c r="F108" i="2"/>
  <c r="F137" i="2"/>
  <c r="F113" i="2"/>
  <c r="F141" i="2"/>
  <c r="F115" i="2"/>
  <c r="F104" i="2"/>
  <c r="F107" i="2"/>
  <c r="F101" i="2"/>
  <c r="F139" i="2"/>
  <c r="F140" i="2"/>
  <c r="F13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Roman-White, Selina (CONTR)</author>
  </authors>
  <commentList>
    <comment ref="E82" authorId="0" shapeId="0" xr:uid="{00000000-0006-0000-0100-000001000000}">
      <text>
        <r>
          <rPr>
            <b/>
            <sz val="9"/>
            <color indexed="81"/>
            <rFont val="Tahoma"/>
            <family val="2"/>
          </rPr>
          <t>Roman-White, Selina (CONTR):</t>
        </r>
        <r>
          <rPr>
            <sz val="9"/>
            <color indexed="81"/>
            <rFont val="Tahoma"/>
            <family val="2"/>
          </rPr>
          <t xml:space="preserve">
this will be modeled as uniform distribution in the model</t>
        </r>
      </text>
    </comment>
  </commentList>
</comments>
</file>

<file path=xl/sharedStrings.xml><?xml version="1.0" encoding="utf-8"?>
<sst xmlns="http://schemas.openxmlformats.org/spreadsheetml/2006/main" count="2542" uniqueCount="1034">
  <si>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</si>
  <si>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</si>
  <si>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</si>
  <si>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</si>
  <si>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</si>
  <si>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</si>
  <si>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</si>
  <si>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</si>
  <si>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</si>
  <si>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</si>
  <si>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</si>
  <si>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</si>
  <si>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</si>
  <si>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</si>
  <si>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</si>
  <si>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</si>
  <si>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</si>
  <si>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</si>
  <si>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</si>
  <si>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</si>
  <si>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</si>
  <si>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</si>
  <si>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</si>
  <si>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</si>
  <si>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</si>
  <si>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</si>
  <si>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</si>
  <si>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</si>
  <si>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</si>
  <si>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</si>
  <si>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</si>
  <si>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</si>
  <si>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</si>
  <si>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</si>
  <si>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</si>
  <si>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</si>
  <si>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</si>
  <si>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</si>
  <si>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</si>
  <si>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</si>
  <si>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</si>
  <si>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</si>
  <si>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</si>
  <si>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</si>
  <si>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</si>
  <si>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</si>
  <si>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</si>
  <si>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</si>
  <si>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</si>
  <si>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</si>
  <si>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</si>
  <si>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</si>
  <si>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</si>
  <si>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</si>
  <si>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</si>
  <si>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</si>
  <si>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</si>
  <si>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</si>
  <si>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</si>
  <si>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</si>
  <si>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</si>
  <si>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</si>
  <si>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</si>
  <si>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</si>
  <si>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</si>
  <si>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</si>
  <si>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</si>
  <si>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</si>
  <si>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</si>
  <si>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</si>
  <si>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</si>
  <si>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</si>
  <si>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</si>
  <si>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</si>
  <si>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</si>
  <si>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</si>
  <si>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</si>
  <si>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</si>
  <si>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</si>
  <si>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</si>
  <si>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</si>
  <si>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</si>
  <si>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</si>
  <si>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</si>
  <si>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</si>
  <si>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</si>
  <si>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</si>
  <si>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</si>
  <si>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</si>
  <si>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</si>
  <si>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</si>
  <si>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</si>
  <si>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</si>
  <si>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</si>
  <si>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</si>
  <si>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</si>
  <si>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</si>
  <si>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</si>
  <si>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</si>
  <si>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</si>
  <si>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</si>
  <si>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</si>
  <si>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</si>
  <si>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</si>
  <si>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</si>
  <si>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</si>
  <si>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</si>
  <si>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</si>
  <si>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</si>
  <si>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</si>
  <si>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</si>
  <si>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</si>
  <si>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</si>
  <si>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</si>
  <si>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</si>
  <si>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</si>
  <si>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</si>
  <si>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</si>
  <si>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</si>
  <si>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</si>
  <si>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</si>
  <si>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</si>
  <si>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</si>
  <si>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</si>
  <si>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</si>
  <si>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</si>
  <si>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</si>
  <si>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</si>
  <si>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</si>
  <si>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</si>
  <si>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</si>
  <si>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</si>
  <si>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</si>
  <si>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</si>
  <si>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</si>
  <si>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</si>
  <si>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</si>
  <si>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</si>
  <si>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</si>
  <si>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</si>
  <si>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</si>
  <si>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</si>
  <si>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</si>
  <si>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</si>
  <si>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</si>
  <si>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</si>
  <si>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</si>
  <si>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</si>
  <si>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</si>
  <si>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</si>
  <si>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</si>
  <si>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</si>
  <si>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</si>
  <si>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</si>
  <si>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</si>
  <si>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</si>
  <si>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</si>
  <si>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</si>
  <si>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</si>
  <si>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</si>
  <si>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</si>
  <si>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</si>
  <si>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</si>
  <si>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</si>
  <si>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</si>
  <si>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</si>
  <si>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</si>
  <si>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</si>
  <si>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</si>
  <si>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</si>
  <si>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</si>
  <si>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</si>
  <si>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</si>
  <si>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</si>
  <si>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</si>
  <si>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</si>
  <si>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</si>
  <si>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</si>
  <si>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</si>
  <si>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</si>
  <si>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</si>
  <si>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</si>
  <si>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</si>
  <si>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</si>
  <si>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</si>
  <si>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</si>
  <si>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</si>
  <si>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</si>
  <si>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</si>
  <si>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</si>
  <si>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</si>
  <si>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</si>
  <si>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</si>
  <si>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</si>
  <si>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</si>
  <si>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</si>
  <si>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</si>
  <si>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</si>
  <si>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</si>
  <si>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</si>
  <si>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</si>
  <si>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</si>
  <si>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</si>
  <si>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</si>
  <si>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</si>
  <si>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</si>
  <si>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</si>
  <si>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</si>
  <si>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</si>
  <si>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</si>
  <si>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</si>
  <si>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</si>
  <si>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</si>
  <si>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</si>
  <si>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</si>
  <si>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</si>
  <si>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</si>
  <si>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</si>
  <si>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</si>
  <si>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</si>
  <si>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</si>
  <si>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</si>
  <si>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</si>
  <si>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Flow</t>
  </si>
  <si>
    <t>Notes</t>
  </si>
  <si>
    <t>Conversion Factors</t>
  </si>
  <si>
    <t>Assumption #</t>
  </si>
  <si>
    <t>Estimated_Ultimate_Recovery</t>
  </si>
  <si>
    <t>Estimated_Frac_Volume</t>
  </si>
  <si>
    <t>Flowback_Volume_Percent</t>
  </si>
  <si>
    <t>Conc_TDS</t>
  </si>
  <si>
    <t>Conc_TSS</t>
  </si>
  <si>
    <t>Conc_Ag</t>
  </si>
  <si>
    <t>Conc_Al</t>
  </si>
  <si>
    <t>Conc_As</t>
  </si>
  <si>
    <t>Conc_B</t>
  </si>
  <si>
    <t>Conc_Ba</t>
  </si>
  <si>
    <t>Conc_Be</t>
  </si>
  <si>
    <t>Conc_Br</t>
  </si>
  <si>
    <t>Conc_Ca</t>
  </si>
  <si>
    <t>Conc_Cd</t>
  </si>
  <si>
    <t>Conc_Cl</t>
  </si>
  <si>
    <t>Conc_Co</t>
  </si>
  <si>
    <t>Conc_Cr</t>
  </si>
  <si>
    <t>Conc_Cu</t>
  </si>
  <si>
    <t>Conc_F</t>
  </si>
  <si>
    <t>Conc_FeTot</t>
  </si>
  <si>
    <t>Conc_HCO3</t>
  </si>
  <si>
    <t>Conc_Hg</t>
  </si>
  <si>
    <t>Conc_I</t>
  </si>
  <si>
    <t>Conc_K</t>
  </si>
  <si>
    <t>Conc_Li</t>
  </si>
  <si>
    <t>Conc_Mg</t>
  </si>
  <si>
    <t>Conc_Mn</t>
  </si>
  <si>
    <t>Conc_Mo</t>
  </si>
  <si>
    <t>Conc_NO2</t>
  </si>
  <si>
    <t>Conc_NO3</t>
  </si>
  <si>
    <t>Conc_NO3NO2</t>
  </si>
  <si>
    <t>Conc_NH4</t>
  </si>
  <si>
    <t>Conc_TKN</t>
  </si>
  <si>
    <t>Conc_Na</t>
  </si>
  <si>
    <t>Conc_Ni</t>
  </si>
  <si>
    <t>Conc_PO4</t>
  </si>
  <si>
    <t>Conc_Pb</t>
  </si>
  <si>
    <t>Conc_S</t>
  </si>
  <si>
    <t>Conc_SO3</t>
  </si>
  <si>
    <t>Conc_SO4</t>
  </si>
  <si>
    <t>Conc_Sb</t>
  </si>
  <si>
    <t>Conc_Se</t>
  </si>
  <si>
    <t>Conc_Si</t>
  </si>
  <si>
    <t>Conc_Sn</t>
  </si>
  <si>
    <t>Conc_Sr</t>
  </si>
  <si>
    <t>Conc_Ti</t>
  </si>
  <si>
    <t>Conc_Tl</t>
  </si>
  <si>
    <t>Conc_Zn</t>
  </si>
  <si>
    <t>Conc_ALKHCO3</t>
  </si>
  <si>
    <t>Conc_Acidity</t>
  </si>
  <si>
    <t>Conc_TOC</t>
  </si>
  <si>
    <t>Conc_CN</t>
  </si>
  <si>
    <t>Conc_Phenols</t>
  </si>
  <si>
    <t>Conc_Sr87Sr86</t>
  </si>
  <si>
    <t>Conc_Ra226</t>
  </si>
  <si>
    <t>Conc_Ra228</t>
  </si>
  <si>
    <t>Input_Source_Recycle_Percent</t>
  </si>
  <si>
    <t>Input_Source_Surface_Percent</t>
  </si>
  <si>
    <t>Input_Source_Ground_Percent</t>
  </si>
  <si>
    <t>Input_Source_Brackish_Percent</t>
  </si>
  <si>
    <t>Gulf Coast- Expected</t>
  </si>
  <si>
    <t>Gulf Coast- Minimum</t>
  </si>
  <si>
    <t>Gulf Coast- Maximum</t>
  </si>
  <si>
    <t>Arkla- Expected</t>
  </si>
  <si>
    <t>Arkla- Minimum</t>
  </si>
  <si>
    <t>Arkla- Maximum</t>
  </si>
  <si>
    <t>East Texas- Expected</t>
  </si>
  <si>
    <t>East Texas- Minimum</t>
  </si>
  <si>
    <t>East Texas- Maximum</t>
  </si>
  <si>
    <t>Anadarko- Expected</t>
  </si>
  <si>
    <t>Anadarko- Minimum</t>
  </si>
  <si>
    <t>Anadarko- Maximum</t>
  </si>
  <si>
    <t>Green River- Expected</t>
  </si>
  <si>
    <t>Green River- Minimum</t>
  </si>
  <si>
    <t>Green River- Maximum</t>
  </si>
  <si>
    <t>Piceance- Expected</t>
  </si>
  <si>
    <t>Piceance- Minimum</t>
  </si>
  <si>
    <t>Piceance- Maximum</t>
  </si>
  <si>
    <t>[mcf]</t>
  </si>
  <si>
    <t>[gallons]</t>
  </si>
  <si>
    <t>[percent of input volume]</t>
  </si>
  <si>
    <t>[mg/L]</t>
  </si>
  <si>
    <t>[gal/day/well]</t>
  </si>
  <si>
    <t>[percent of water input]</t>
  </si>
  <si>
    <t>Tight Well Production Water Burden</t>
  </si>
  <si>
    <t>U.S. Tight Formations</t>
  </si>
  <si>
    <t>Gulf Coast, Arkla, East Texas, Anadarko, Green River, Piceance Basins</t>
  </si>
  <si>
    <t>NG_Density</t>
  </si>
  <si>
    <t>Water_Input_Flow</t>
  </si>
  <si>
    <t>Flowback_Volume_Flow</t>
  </si>
  <si>
    <t>Produced_Volume_Flow</t>
  </si>
  <si>
    <t>Input_Source_Recycle_Flow</t>
  </si>
  <si>
    <t>Input_Source_Surface_Flow</t>
  </si>
  <si>
    <t>Input_Source_Ground_Flow</t>
  </si>
  <si>
    <t>Input_Source_Brackish_Flow</t>
  </si>
  <si>
    <t>[kg/mcf]</t>
  </si>
  <si>
    <t>[L water/kg NG]</t>
  </si>
  <si>
    <t>Conc_Benzene</t>
  </si>
  <si>
    <t>Conc_Tolene</t>
  </si>
  <si>
    <t>Conc_H2S</t>
  </si>
  <si>
    <t>Conc_Toluene</t>
  </si>
  <si>
    <t>[kg / kg NG]</t>
  </si>
  <si>
    <t>L</t>
  </si>
  <si>
    <t>Methane</t>
  </si>
  <si>
    <t>kg/m3</t>
  </si>
  <si>
    <t xml:space="preserve">m3 = </t>
  </si>
  <si>
    <t>ft3</t>
  </si>
  <si>
    <t>kg/mcf</t>
  </si>
  <si>
    <t>gallon -&gt; L</t>
  </si>
  <si>
    <t>gallon</t>
  </si>
  <si>
    <t>Produced Natural Gas</t>
  </si>
  <si>
    <r>
      <t xml:space="preserve">Note: All inputs and outputs are normalized per the reference flow (e.g., per </t>
    </r>
    <r>
      <rPr>
        <b/>
        <sz val="10"/>
        <color indexed="8"/>
        <rFont val="Arial"/>
        <family val="2"/>
      </rPr>
      <t xml:space="preserve">1 kg </t>
    </r>
    <r>
      <rPr>
        <sz val="10"/>
        <color indexed="8"/>
        <rFont val="Arial"/>
        <family val="2"/>
      </rPr>
      <t xml:space="preserve">of </t>
    </r>
    <r>
      <rPr>
        <b/>
        <sz val="10"/>
        <color indexed="8"/>
        <rFont val="Arial"/>
        <family val="2"/>
      </rPr>
      <t>Produced Natural Gas</t>
    </r>
    <r>
      <rPr>
        <sz val="10"/>
        <color indexed="8"/>
        <rFont val="Arial"/>
        <family val="2"/>
      </rPr>
      <t>)</t>
    </r>
  </si>
  <si>
    <t>No</t>
  </si>
  <si>
    <t>Produced_Natural_Gas</t>
  </si>
  <si>
    <t>Reference Flow</t>
  </si>
  <si>
    <t>Estimated Ultimate Recovery of NG from 1 well</t>
  </si>
  <si>
    <t>Estimated volume of water used to stimulate well production</t>
  </si>
  <si>
    <t>Percent of water input that returns to the surface as flowback water</t>
  </si>
  <si>
    <t>Concentration of TDS in flowback/produced water</t>
  </si>
  <si>
    <t>Concentration of TSS in flowback/produced water</t>
  </si>
  <si>
    <t>Concentration of Ag in flowback/produced water</t>
  </si>
  <si>
    <t>Concentration of Al in flowback/produced water</t>
  </si>
  <si>
    <t>Concentration of As in flowback/produced water</t>
  </si>
  <si>
    <t>Concentration of B in flowback/produced water</t>
  </si>
  <si>
    <t>Concentration of Ba in flowback/produced water</t>
  </si>
  <si>
    <t>Concentration of Be in flowback/produced water</t>
  </si>
  <si>
    <t>Concentration of Br in flowback/produced water</t>
  </si>
  <si>
    <t>Concentration of Ca in flowback/produced water</t>
  </si>
  <si>
    <t>Concentration of Cd in flowback/produced water</t>
  </si>
  <si>
    <t>Concentration of Cl in flowback/produced water</t>
  </si>
  <si>
    <t>Concentration of Co in flowback/produced water</t>
  </si>
  <si>
    <t>Concentration of Cr in flowback/produced water</t>
  </si>
  <si>
    <t>Concentration of Cu in flowback/produced water</t>
  </si>
  <si>
    <t>Concentration of F in flowback/produced water</t>
  </si>
  <si>
    <t>Concentration of FeTot in flowback/produced water</t>
  </si>
  <si>
    <t>Concentration of HCO3 in flowback/produced water</t>
  </si>
  <si>
    <t>Concentration of Hg in flowback/produced water</t>
  </si>
  <si>
    <t>Concentration of I in flowback/produced water</t>
  </si>
  <si>
    <t>Concentration of K in flowback/produced water</t>
  </si>
  <si>
    <t>Concentration of Li in flowback/produced water</t>
  </si>
  <si>
    <t>Concentration of Mg in flowback/produced water</t>
  </si>
  <si>
    <t>Concentration of Mn in flowback/produced water</t>
  </si>
  <si>
    <t>Concentration of Mo in flowback/produced water</t>
  </si>
  <si>
    <t>Concentration of NO2 in flowback/produced water</t>
  </si>
  <si>
    <t>Concentration of NO3 in flowback/produced water</t>
  </si>
  <si>
    <t>Concentration of NO3NO2 in flowback/produced water</t>
  </si>
  <si>
    <t>Concentration of NH4 in flowback/produced water</t>
  </si>
  <si>
    <t>Concentration of TKN in flowback/produced water</t>
  </si>
  <si>
    <t>Concentration of Na in flowback/produced water</t>
  </si>
  <si>
    <t>Concentration of Ni in flowback/produced water</t>
  </si>
  <si>
    <t>Concentration of PO4 in flowback/produced water</t>
  </si>
  <si>
    <t>Concentration of Pb in flowback/produced water</t>
  </si>
  <si>
    <t>Concentration of S in flowback/produced water</t>
  </si>
  <si>
    <t>Concentration of SO3 in flowback/produced water</t>
  </si>
  <si>
    <t>Concentration of SO4 in flowback/produced water</t>
  </si>
  <si>
    <t>Concentration of Sb in flowback/produced water</t>
  </si>
  <si>
    <t>Concentration of Se in flowback/produced water</t>
  </si>
  <si>
    <t>Concentration of Si in flowback/produced water</t>
  </si>
  <si>
    <t>Concentration of Sn in flowback/produced water</t>
  </si>
  <si>
    <t>Concentration of Sr in flowback/produced water</t>
  </si>
  <si>
    <t>Concentration of Ti in flowback/produced water</t>
  </si>
  <si>
    <t>Concentration of Tl in flowback/produced water</t>
  </si>
  <si>
    <t>Concentration of Zn in flowback/produced water</t>
  </si>
  <si>
    <t>Concentration of ALKHCO3 in flowback/produced water</t>
  </si>
  <si>
    <t>Concentration of Acidity in flowback/produced water</t>
  </si>
  <si>
    <t>Concentration of TOC in flowback/produced water</t>
  </si>
  <si>
    <t>Concentration of CN in flowback/produced water</t>
  </si>
  <si>
    <t>Concentration of Phenols in flowback/produced water</t>
  </si>
  <si>
    <t>Concentration of Sr87Sr86 in flowback/produced water</t>
  </si>
  <si>
    <t>Concentration of Ra226 in flowback/produced water</t>
  </si>
  <si>
    <t>Concentration of Ra228 in flowback/produced water</t>
  </si>
  <si>
    <t>Concentration of Benzene in flowback/produced water</t>
  </si>
  <si>
    <t>Concentration of Toluene in flowback/produced water</t>
  </si>
  <si>
    <t>Concentration of H2S in flowback/produced water</t>
  </si>
  <si>
    <t>Rate at which produced water exits the well</t>
  </si>
  <si>
    <t>Percent of water input that is sourced from recycled water</t>
  </si>
  <si>
    <t>Percent of water input that is sourced from surface fresh water</t>
  </si>
  <si>
    <t>Percent of water input that is sourced from ground fresh water</t>
  </si>
  <si>
    <t>Percent of water input that is sourced from ground brackish water</t>
  </si>
  <si>
    <t>Denstiy of natural gas at NTP</t>
  </si>
  <si>
    <t>Volume of water injected into the well on a kg of natural gas basis</t>
  </si>
  <si>
    <t>Volume of water that returns as flowback</t>
  </si>
  <si>
    <t>Volume of water that returns as produced water</t>
  </si>
  <si>
    <t>Volumetric flow of water input into the well sourced from recycled water</t>
  </si>
  <si>
    <t>Volumetric flow of water input into the well sourced from surface water</t>
  </si>
  <si>
    <t>Volumetric flow of water input into the well sourced from ground water</t>
  </si>
  <si>
    <t>Volumetric flow of water input into the well sourced from brackish water</t>
  </si>
  <si>
    <t>Report</t>
  </si>
  <si>
    <t>Database</t>
  </si>
  <si>
    <t>Hydraulic Fracturing for Oil and Gas: Impacts from the Hydraulic Fracturing Water Cycle on Drinking Water Resources in the United States</t>
  </si>
  <si>
    <t>DI Desktop Natural Gas Production Data</t>
  </si>
  <si>
    <t>FracFocus Chemical Database</t>
  </si>
  <si>
    <t>U.S. E.P.A</t>
  </si>
  <si>
    <t>Ground Water Protection Council</t>
  </si>
  <si>
    <t>Interstate Oil and Gas Compact Commission</t>
  </si>
  <si>
    <t>2016</t>
  </si>
  <si>
    <t>Dec.</t>
  </si>
  <si>
    <t>Washington, D.C.</t>
  </si>
  <si>
    <t>Office of Research and Development</t>
  </si>
  <si>
    <t>Drilling Info</t>
  </si>
  <si>
    <t>GWPC &amp; IOGCC</t>
  </si>
  <si>
    <t>Tables 7-1 through 7-4, Chapter 4</t>
  </si>
  <si>
    <t>Reported Data</t>
  </si>
  <si>
    <t>2011-2016</t>
  </si>
  <si>
    <t>U.S. and different regions</t>
  </si>
  <si>
    <t>Basin Specific</t>
  </si>
  <si>
    <t>Basin Specific/Well Specific</t>
  </si>
  <si>
    <t>4 - Gulf Coast</t>
  </si>
  <si>
    <t>U.S. Geological Survey National Produced Waters Geochemical Database</t>
  </si>
  <si>
    <t>Blondes, Madalyn S.</t>
  </si>
  <si>
    <t>Gans, Kathleen D.; Engle, Mark A.; Kharaka, Yousif K.; Reidy, Mark E.; Saraswathula, Varun; Thordsen, James J.; Rowan, Elizabeth L.; Morrissey, Eric A.</t>
  </si>
  <si>
    <t>2017</t>
  </si>
  <si>
    <t>Dec 8</t>
  </si>
  <si>
    <t>USGS online</t>
  </si>
  <si>
    <t>v2.3</t>
  </si>
  <si>
    <t>https://energy.usgs.gov/EnvironmentalAspects/EnvironmentalAspectsofEnergyProductionandUse/ProducedWaters.aspx#3822349-data</t>
  </si>
  <si>
    <t>1/17/2018</t>
  </si>
  <si>
    <t>Written communication, Texas RRC, publications</t>
  </si>
  <si>
    <t>1989-2015</t>
  </si>
  <si>
    <t>Tight wells in the Gulf Coast Basin</t>
  </si>
  <si>
    <t>4 - Arkla</t>
  </si>
  <si>
    <t>Majority from industry, analytical labs</t>
  </si>
  <si>
    <t>not given</t>
  </si>
  <si>
    <t>Conventional wells in the Arkla Basin</t>
  </si>
  <si>
    <t>4 - East Texas</t>
  </si>
  <si>
    <t>Majority from industry</t>
  </si>
  <si>
    <t>Conventional Wells in the East Texas Basin</t>
  </si>
  <si>
    <t>4 - Anadarko</t>
  </si>
  <si>
    <t>Majority data reported from industry</t>
  </si>
  <si>
    <t>Conventional Wells in Anadarko Basin</t>
  </si>
  <si>
    <t>4 - Green River</t>
  </si>
  <si>
    <t>Tight wells in the Green River Basin</t>
  </si>
  <si>
    <t>DOE, Wyoming Oil and Gas Conservation Commission</t>
  </si>
  <si>
    <t>2005 (where cited)</t>
  </si>
  <si>
    <t>4 - Piceance</t>
  </si>
  <si>
    <t>Conventional Wells in Piceance Basin</t>
  </si>
  <si>
    <t xml:space="preserve">Industry, Laboratories, Geological Survey, etc. </t>
  </si>
  <si>
    <t>Website</t>
  </si>
  <si>
    <t>Isothermal Properties for Methane</t>
  </si>
  <si>
    <t>NIST Chemistry WebBook</t>
  </si>
  <si>
    <t>Standard Reference Database 69</t>
  </si>
  <si>
    <t>http://webbook.nist.gov/cgi/fluid.cgi?T=20&amp;PLow=0&amp;PHigh=2&amp;PInc=1&amp;Applet=on&amp;Digits=5&amp;ID=C74828&amp;Action=Load&amp;Type=IsoTherm&amp;TUnit=C&amp;PUnit=atm&amp;DUnit=kg%2Fm3&amp;HUnit=kJ%2Fmol&amp;WUnit=m%2Fs&amp;VisUnit=uPa*s&amp;STUnit=N%2Fm&amp;RefState=DEF</t>
  </si>
  <si>
    <t>1/18/2018</t>
  </si>
  <si>
    <t>Fundamental Constant</t>
  </si>
  <si>
    <t>NTP- 20 deg C, 1 atm</t>
  </si>
  <si>
    <t>N/A</t>
  </si>
  <si>
    <t>1,2,3,5</t>
  </si>
  <si>
    <t>1,2,5</t>
  </si>
  <si>
    <t>*=(estimated water stimulation volume) * (convert to litres) / (estimated ultimate recovery of NG) / (NG density)</t>
  </si>
  <si>
    <t>L water / kg NG</t>
  </si>
  <si>
    <t>density of NG is at NTP (20 deg C, 1 atm)</t>
  </si>
  <si>
    <t>*= (water input flow) * (percent of input that returns as flowback)</t>
  </si>
  <si>
    <t xml:space="preserve">*= (rate of produced water exiting well) * (convert to litres) * (30 year life of well) / (estimated until recovery of NG) / (NG density) </t>
  </si>
  <si>
    <t>assumes 30 year life of well</t>
  </si>
  <si>
    <t>NG denstiy at NTP</t>
  </si>
  <si>
    <t>Input_Source_XXX</t>
  </si>
  <si>
    <t>*= (water input flow) * (percent of water sourced from XXX)</t>
  </si>
  <si>
    <t>Example Calculations Sheet</t>
  </si>
  <si>
    <t>Written out formulas of calculations performed in this unit process</t>
  </si>
  <si>
    <r>
      <t xml:space="preserve">Abbreviations used throughout this DS: </t>
    </r>
    <r>
      <rPr>
        <b/>
        <i/>
        <sz val="10"/>
        <rFont val="Arial"/>
        <family val="2"/>
      </rPr>
      <t>UP - unit process, NG - natural gas</t>
    </r>
  </si>
  <si>
    <t xml:space="preserve">Hydraulic fracturing is the only stimulation treatment considered in this UP. All tight gas wells are considered to be hydraulically fractured. </t>
  </si>
  <si>
    <t xml:space="preserve">All wells are considered to be drilled horizontally or directionally. </t>
  </si>
  <si>
    <t xml:space="preserve">Re-working of wells is not considered in this UP. The hydraulic fracturing stimulation treatment is considered to be the first and only treatment of the well. </t>
  </si>
  <si>
    <t xml:space="preserve">Water quality data was unable to be distinguished as flowback or produced samples, so the same set of parameters is used for both. </t>
  </si>
  <si>
    <t xml:space="preserve">Anadarko: water quality data was unavailable for tight wells, so water quality data for conventional wells in the Anadarko basin was used instead. </t>
  </si>
  <si>
    <t xml:space="preserve">Arkla: water quality data was unavailable for tight wells, so water quality data for conventional wells in the Arkla basin was used instead. </t>
  </si>
  <si>
    <t xml:space="preserve">East Texas: water quality data was unavailable for tight wells, so water quality data for conventional wells in the East Texas basin was used instead. </t>
  </si>
  <si>
    <t xml:space="preserve">Piceance: water quality data was unavailable for tight wells, so water quality data for conventional wells in the Piceance basin was used instead. </t>
  </si>
  <si>
    <t>Flow_TDS_water</t>
  </si>
  <si>
    <t>Flow_TSS_water</t>
  </si>
  <si>
    <t>Flow_Ag_water</t>
  </si>
  <si>
    <t>Flow_Al_water</t>
  </si>
  <si>
    <t>Flow_As_water</t>
  </si>
  <si>
    <t>Flow_B_water</t>
  </si>
  <si>
    <t>Flow_Ba_water</t>
  </si>
  <si>
    <t>Flow_Be_water</t>
  </si>
  <si>
    <t>Flow_Br_water</t>
  </si>
  <si>
    <t>Flow_Ca_water</t>
  </si>
  <si>
    <t>Flow_Cd_water</t>
  </si>
  <si>
    <t>Flow_Cl_water</t>
  </si>
  <si>
    <t>Flow_Co_water</t>
  </si>
  <si>
    <t>Flow_Cr_water</t>
  </si>
  <si>
    <t>Flow_Cu_water</t>
  </si>
  <si>
    <t>Flow_F_water</t>
  </si>
  <si>
    <t>Flow_FeTot_water</t>
  </si>
  <si>
    <t>Flow_HCO3_water</t>
  </si>
  <si>
    <t>Flow_Hg_water</t>
  </si>
  <si>
    <t>Flow_I_water</t>
  </si>
  <si>
    <t>Flow_K_water</t>
  </si>
  <si>
    <t>Flow_Li_water</t>
  </si>
  <si>
    <t>Flow_Mg_water</t>
  </si>
  <si>
    <t>Flow_Mn_water</t>
  </si>
  <si>
    <t>Flow_Mo_water</t>
  </si>
  <si>
    <t>Flow_NO2_water</t>
  </si>
  <si>
    <t>Flow_NO3_water</t>
  </si>
  <si>
    <t>Flow_NO3NO2_water</t>
  </si>
  <si>
    <t>Flow_NH4_water</t>
  </si>
  <si>
    <t>Flow_TKN_water</t>
  </si>
  <si>
    <t>Flow_Na_water</t>
  </si>
  <si>
    <t>Flow_Ni_water</t>
  </si>
  <si>
    <t>Flow_PO4_water</t>
  </si>
  <si>
    <t>Flow_Pb_water</t>
  </si>
  <si>
    <t>Flow_S_water</t>
  </si>
  <si>
    <t>Flow_SO3_water</t>
  </si>
  <si>
    <t>Flow_SO4_water</t>
  </si>
  <si>
    <t>Flow_Sb_water</t>
  </si>
  <si>
    <t>Flow_Se_water</t>
  </si>
  <si>
    <t>Flow_Si_water</t>
  </si>
  <si>
    <t>Flow_Sn_water</t>
  </si>
  <si>
    <t>Flow_Sr_water</t>
  </si>
  <si>
    <t>Flow_Ti_water</t>
  </si>
  <si>
    <t>Flow_Tl_water</t>
  </si>
  <si>
    <t>Flow_Zn_water</t>
  </si>
  <si>
    <t>Flow_ALKHCO3_water</t>
  </si>
  <si>
    <t>Flow_Acidity_water</t>
  </si>
  <si>
    <t>Flow_TOC_water</t>
  </si>
  <si>
    <t>Flow_CN_water</t>
  </si>
  <si>
    <t>Flow_Phenols_water</t>
  </si>
  <si>
    <t>Flow_Sr87Sr86_water</t>
  </si>
  <si>
    <t>Flow_Ra226_water</t>
  </si>
  <si>
    <t>Flow_Ra228_water</t>
  </si>
  <si>
    <t>Flow_Benzene_water</t>
  </si>
  <si>
    <t>Flow_Toluene_water</t>
  </si>
  <si>
    <t>Flow_H2S_water</t>
  </si>
  <si>
    <t>Flow_TDS_soil</t>
  </si>
  <si>
    <t>Flow_TSS_soil</t>
  </si>
  <si>
    <t>Flow_Ag_soil</t>
  </si>
  <si>
    <t>Flow_Al_soil</t>
  </si>
  <si>
    <t>Flow_As_soil</t>
  </si>
  <si>
    <t>Flow_B_soil</t>
  </si>
  <si>
    <t>Flow_Ba_soil</t>
  </si>
  <si>
    <t>Flow_Be_soil</t>
  </si>
  <si>
    <t>Flow_Br_soil</t>
  </si>
  <si>
    <t>Flow_Ca_soil</t>
  </si>
  <si>
    <t>Flow_Cd_soil</t>
  </si>
  <si>
    <t>Flow_Cl_soil</t>
  </si>
  <si>
    <t>Flow_Co_soil</t>
  </si>
  <si>
    <t>Flow_Cr_soil</t>
  </si>
  <si>
    <t>Flow_Cu_soil</t>
  </si>
  <si>
    <t>Flow_F_soil</t>
  </si>
  <si>
    <t>Flow_FeTot_soil</t>
  </si>
  <si>
    <t>Flow_HCO3_soil</t>
  </si>
  <si>
    <t>Flow_Hg_soil</t>
  </si>
  <si>
    <t>Flow_I_soil</t>
  </si>
  <si>
    <t>Flow_K_soil</t>
  </si>
  <si>
    <t>Flow_Li_soil</t>
  </si>
  <si>
    <t>Flow_Mg_soil</t>
  </si>
  <si>
    <t>Flow_Mn_soil</t>
  </si>
  <si>
    <t>Flow_Mo_soil</t>
  </si>
  <si>
    <t>Flow_NO2_soil</t>
  </si>
  <si>
    <t>Flow_NO3_soil</t>
  </si>
  <si>
    <t>Flow_NO3NO2_soil</t>
  </si>
  <si>
    <t>Flow_NH4_soil</t>
  </si>
  <si>
    <t>Flow_TKN_soil</t>
  </si>
  <si>
    <t>Flow_Na_soil</t>
  </si>
  <si>
    <t>Flow_Ni_soil</t>
  </si>
  <si>
    <t>Flow_PO4_soil</t>
  </si>
  <si>
    <t>Flow_Pb_soil</t>
  </si>
  <si>
    <t>Flow_S_soil</t>
  </si>
  <si>
    <t>Flow_SO3_soil</t>
  </si>
  <si>
    <t>Flow_SO4_soil</t>
  </si>
  <si>
    <t>Flow_Sb_soil</t>
  </si>
  <si>
    <t>Flow_Se_soil</t>
  </si>
  <si>
    <t>Flow_Si_soil</t>
  </si>
  <si>
    <t>Flow_Sn_soil</t>
  </si>
  <si>
    <t>Flow_Sr_soil</t>
  </si>
  <si>
    <t>Flow_Ti_soil</t>
  </si>
  <si>
    <t>Flow_Tl_soil</t>
  </si>
  <si>
    <t>Flow_Zn_soil</t>
  </si>
  <si>
    <t>Flow_ALKHCO3_soil</t>
  </si>
  <si>
    <t>Flow_Acidity_soil</t>
  </si>
  <si>
    <t>Flow_TOC_soil</t>
  </si>
  <si>
    <t>Flow_CN_soil</t>
  </si>
  <si>
    <t>Flow_Phenols_soil</t>
  </si>
  <si>
    <t>Flow_Sr87Sr86_soil</t>
  </si>
  <si>
    <t>Flow_Ra226_soil</t>
  </si>
  <si>
    <t>Flow_Ra228_soil</t>
  </si>
  <si>
    <t>Flow_Benzene_soil</t>
  </si>
  <si>
    <t>Flow_Toluene_soil</t>
  </si>
  <si>
    <t>Flow_H2S_soil</t>
  </si>
  <si>
    <t>prob_spill</t>
  </si>
  <si>
    <t>prob_reach_env</t>
  </si>
  <si>
    <t>perc_soil</t>
  </si>
  <si>
    <t>perc_surfwater</t>
  </si>
  <si>
    <t>spill_volume</t>
  </si>
  <si>
    <t>probability</t>
  </si>
  <si>
    <t>percent</t>
  </si>
  <si>
    <t>Litres/well</t>
  </si>
  <si>
    <t>probability a spill occurs</t>
  </si>
  <si>
    <t>probability the spill reaches the environment</t>
  </si>
  <si>
    <t>percent of spilled volume that reaches the environment in the form of soil</t>
  </si>
  <si>
    <t>percent of spilled volume that reaches the environment in the form of surface water</t>
  </si>
  <si>
    <t>volume of spilled flowback/produced water</t>
  </si>
  <si>
    <t>2,4,5,6</t>
  </si>
  <si>
    <t>Mass flow of TDS released to surface water</t>
  </si>
  <si>
    <t>Mass flow of TSS released to surface water</t>
  </si>
  <si>
    <t>Mass flow of Ag released to surface water</t>
  </si>
  <si>
    <t>Mass flow of Al released to surface water</t>
  </si>
  <si>
    <t>Mass flow of As released to surface water</t>
  </si>
  <si>
    <t>Mass flow of B released to surface water</t>
  </si>
  <si>
    <t>Mass flow of Ba released to surface water</t>
  </si>
  <si>
    <t>Mass flow of Be released to surface water</t>
  </si>
  <si>
    <t>Mass flow of Br released to surface water</t>
  </si>
  <si>
    <t>Mass flow of Ca released to surface water</t>
  </si>
  <si>
    <t>Mass flow of Cd released to surface water</t>
  </si>
  <si>
    <t>Mass flow of Cl released to surface water</t>
  </si>
  <si>
    <t>Mass flow of Co released to surface water</t>
  </si>
  <si>
    <t>Mass flow of Cr released to surface water</t>
  </si>
  <si>
    <t>Mass flow of Cu released to surface water</t>
  </si>
  <si>
    <t>Mass flow of F released to surface water</t>
  </si>
  <si>
    <t>Mass flow of FeTo released to surface water</t>
  </si>
  <si>
    <t>Mass flow of HCO3 released to surface water</t>
  </si>
  <si>
    <t>Mass flow of Hg released to surface water</t>
  </si>
  <si>
    <t>Mass flow of I released to surface water</t>
  </si>
  <si>
    <t>Mass flow of K released to surface water</t>
  </si>
  <si>
    <t>Mass flow of Li released to surface water</t>
  </si>
  <si>
    <t>Mass flow of Mg released to surface water</t>
  </si>
  <si>
    <t>Mass flow of Mn released to surface water</t>
  </si>
  <si>
    <t>Mass flow of Mo released to surface water</t>
  </si>
  <si>
    <t>Mass flow of NO2 released to surface water</t>
  </si>
  <si>
    <t>Mass flow of NO3 released to surface water</t>
  </si>
  <si>
    <t>Mass flow of NO3NO2 released to surface water</t>
  </si>
  <si>
    <t>Mass flow of NH4 released to surface water</t>
  </si>
  <si>
    <t>Mass flow of TKN released to surface water</t>
  </si>
  <si>
    <t>Mass flow of Na released to surface water</t>
  </si>
  <si>
    <t>Mass flow of Ni released to surface water</t>
  </si>
  <si>
    <t>Mass flow of PO4 released to surface water</t>
  </si>
  <si>
    <t>Mass flow of Pb released to surface water</t>
  </si>
  <si>
    <t>Mass flow of S released to surface water</t>
  </si>
  <si>
    <t>Mass flow of SO3 released to surface water</t>
  </si>
  <si>
    <t>Mass flow of SO4 released to surface water</t>
  </si>
  <si>
    <t>Mass flow of Sb released to surface water</t>
  </si>
  <si>
    <t>Mass flow of Se released to surface water</t>
  </si>
  <si>
    <t>Mass flow of Si released to surface water</t>
  </si>
  <si>
    <t>Mass flow of Sn released to surface water</t>
  </si>
  <si>
    <t>Mass flow of Sr released to surface water</t>
  </si>
  <si>
    <t>Mass flow of Ti released to surface water</t>
  </si>
  <si>
    <t>Mass flow of Tl released to surface water</t>
  </si>
  <si>
    <t>Mass flow of Zn released to surface water</t>
  </si>
  <si>
    <t>Mass flow of ALKHCO3 released to surface water</t>
  </si>
  <si>
    <t>Mass flow of Acidity released to surface water</t>
  </si>
  <si>
    <t>Mass flow of TOC released to surface water</t>
  </si>
  <si>
    <t>Mass flow of CN released to surface water</t>
  </si>
  <si>
    <t>Mass flow of Phenols released to surface water</t>
  </si>
  <si>
    <t>Mass flow of Sr87Sr86 released to surface water</t>
  </si>
  <si>
    <t>Mass flow of Ra226 released to surface water</t>
  </si>
  <si>
    <t>Mass flow of Ra228 released to surface water</t>
  </si>
  <si>
    <t>Mass flow of Benzene released to surface water</t>
  </si>
  <si>
    <t>Mass flow of Toluene released to surface water</t>
  </si>
  <si>
    <t>Mass flow of H2S released to surface water</t>
  </si>
  <si>
    <t>Mass flow of TDS released to soil</t>
  </si>
  <si>
    <t>Mass flow of TSS released to soil</t>
  </si>
  <si>
    <t>Mass flow of Ag released to soil</t>
  </si>
  <si>
    <t>Mass flow of Al released to soil</t>
  </si>
  <si>
    <t>Mass flow of As released to soil</t>
  </si>
  <si>
    <t>Mass flow of B released to soil</t>
  </si>
  <si>
    <t>Mass flow of Ba released to soil</t>
  </si>
  <si>
    <t>Mass flow of Be released to soil</t>
  </si>
  <si>
    <t>Mass flow of Br released to soil</t>
  </si>
  <si>
    <t>Mass flow of Ca released to soil</t>
  </si>
  <si>
    <t>Mass flow of Cd released to soil</t>
  </si>
  <si>
    <t>Mass flow of Cl released to soil</t>
  </si>
  <si>
    <t>Mass flow of Co released to soil</t>
  </si>
  <si>
    <t>Mass flow of Cr released to soil</t>
  </si>
  <si>
    <t>Mass flow of Cu released to soil</t>
  </si>
  <si>
    <t>Mass flow of F released to soil</t>
  </si>
  <si>
    <t>Mass flow of FeTot released to soil</t>
  </si>
  <si>
    <t>Mass flow of HCO3 released to soil</t>
  </si>
  <si>
    <t>Mass flow of Hg released to soil</t>
  </si>
  <si>
    <t>Mass flow of I released to soil</t>
  </si>
  <si>
    <t>Mass flow of K released to soil</t>
  </si>
  <si>
    <t>Mass flow of Li released to soil</t>
  </si>
  <si>
    <t>Mass flow of Mg released to soil</t>
  </si>
  <si>
    <t>Mass flow of Mn released to soil</t>
  </si>
  <si>
    <t>Mass flow of Mo released to soil</t>
  </si>
  <si>
    <t>Mass flow of NO2 released to soil</t>
  </si>
  <si>
    <t>Mass flow of NO3 released to soil</t>
  </si>
  <si>
    <t>Mass flow of NO3NO2 released to soil</t>
  </si>
  <si>
    <t>Mass flow of NH4 released to soil</t>
  </si>
  <si>
    <t>Mass flow of TKN released to soil</t>
  </si>
  <si>
    <t>Mass flow of Na released to soil</t>
  </si>
  <si>
    <t>Mass flow of Ni released to soil</t>
  </si>
  <si>
    <t>Mass flow of PO4 released to soil</t>
  </si>
  <si>
    <t>Mass flow of Pb released to soil</t>
  </si>
  <si>
    <t>Mass flow of S released to soil</t>
  </si>
  <si>
    <t>Mass flow of SO3 released to soil</t>
  </si>
  <si>
    <t>Mass flow of SO4 released to soil</t>
  </si>
  <si>
    <t>Mass flow of Sb released to soil</t>
  </si>
  <si>
    <t>Mass flow of Se released to soil</t>
  </si>
  <si>
    <t>Mass flow of Si released to soil</t>
  </si>
  <si>
    <t>Mass flow of Sn released to soil</t>
  </si>
  <si>
    <t>Mass flow of Sr released to soil</t>
  </si>
  <si>
    <t>Mass flow of Ti released to soil</t>
  </si>
  <si>
    <t>Mass flow of Tl released to soil</t>
  </si>
  <si>
    <t>Mass flow of Zn released to soil</t>
  </si>
  <si>
    <t>Mass flow of ALKHCO3 released to soil</t>
  </si>
  <si>
    <t>Mass flow of Acidity released to soil</t>
  </si>
  <si>
    <t>Mass flow of TOC released to soil</t>
  </si>
  <si>
    <t>Mass flow of CN released to soil</t>
  </si>
  <si>
    <t>Mass flow of Phenols released to soil</t>
  </si>
  <si>
    <t>Mass flow of Sr87Sr86 released to soil</t>
  </si>
  <si>
    <t>Mass flow of Ra226 released to soil</t>
  </si>
  <si>
    <t>Mass flow of Ra228  released to soil</t>
  </si>
  <si>
    <t>Mass flow of Benzene  released to soil</t>
  </si>
  <si>
    <t>Mass flow of Toluene released to soil</t>
  </si>
  <si>
    <t>Mass flow of H2S released to soil</t>
  </si>
  <si>
    <t>Water (recycled water) [Water]</t>
  </si>
  <si>
    <t>Water (surface water) [Water]</t>
  </si>
  <si>
    <t>Water (ground water) [Water]</t>
  </si>
  <si>
    <t>Water (brackish water) [Water]</t>
  </si>
  <si>
    <t>[Resource]</t>
  </si>
  <si>
    <t>TDS [emissions to water]</t>
  </si>
  <si>
    <t>TSS [emissions to water]</t>
  </si>
  <si>
    <t>Silver [inorganic emissions to water]</t>
  </si>
  <si>
    <t>Aluminum [inorganic emissions to water]</t>
  </si>
  <si>
    <t>Arsenic [inorganic emissions to water]</t>
  </si>
  <si>
    <t>Boron [inorganic emissions to water]</t>
  </si>
  <si>
    <t>Barium [inorganic emissions to water]</t>
  </si>
  <si>
    <t>Berylium [inorganic emissions to water]</t>
  </si>
  <si>
    <t>Bromine [inorganic emissions to water]</t>
  </si>
  <si>
    <t>Calcium [inorganic emissions to water]</t>
  </si>
  <si>
    <t>Cadmium [inorganic emissions to water]</t>
  </si>
  <si>
    <t>Chlorine [inorganic emissions to water]</t>
  </si>
  <si>
    <t>Cobalt [inorganic emissions to water]</t>
  </si>
  <si>
    <t>Chromium [inorganic emissions to water]</t>
  </si>
  <si>
    <t>Copper [inorganic emissions to water]</t>
  </si>
  <si>
    <t>Fluorine [inorganic emissions to water]</t>
  </si>
  <si>
    <t>Total Iron [inorganic emissions to water]</t>
  </si>
  <si>
    <t>Bicarbonate [inorganic emissions to water]</t>
  </si>
  <si>
    <t>Mercury [inorganic emissions to water]</t>
  </si>
  <si>
    <t>Iodine [inorganic emissions to water]</t>
  </si>
  <si>
    <t>Potassium [inorganic emissions to water]</t>
  </si>
  <si>
    <t>Lithium [inorganic emissions to water]</t>
  </si>
  <si>
    <t>Magnesium [inorganic emissions to water]</t>
  </si>
  <si>
    <t>Manganese [inorganic emissions to water]</t>
  </si>
  <si>
    <t>Molybdenum [inorganic emissions to water]</t>
  </si>
  <si>
    <t>Nitrite [inorganic emissions to water]</t>
  </si>
  <si>
    <t>Nitrate [inorganic emissions to water]</t>
  </si>
  <si>
    <t>nitrate-nitrite [inorganic emissions to water]</t>
  </si>
  <si>
    <t>Ammonium [inorganic emissions to water]</t>
  </si>
  <si>
    <t>Total Kjeldahl Nitrogen [inorganic emissions to water]</t>
  </si>
  <si>
    <t>Sodium [inorganic emissions to water]</t>
  </si>
  <si>
    <t>Nickel [inorganic emissions to water]</t>
  </si>
  <si>
    <t>Phosphate [inorganic emissions to water]</t>
  </si>
  <si>
    <t>Lead [inorganic emissions to water]</t>
  </si>
  <si>
    <t>Sulfur [inorganic emissions to water]</t>
  </si>
  <si>
    <t>Sulfite [inorganic emissions to water]</t>
  </si>
  <si>
    <t>Sulfate [inorganic emissions to water]</t>
  </si>
  <si>
    <t>Antimony [inorganic emissions to water]</t>
  </si>
  <si>
    <t>Selenium [inorganic emissions to water]</t>
  </si>
  <si>
    <t>Silicon [inorganic emissions to water]</t>
  </si>
  <si>
    <t>Tin [inorganic emissions to water]</t>
  </si>
  <si>
    <t>Strontium [inorganic emissions to water]</t>
  </si>
  <si>
    <t>Titanium [inorganic emissions to water]</t>
  </si>
  <si>
    <t>Thalium [inorganic emissions to water]</t>
  </si>
  <si>
    <t>Zinc [inorganic emissions to water]</t>
  </si>
  <si>
    <t>Alkalinity [inorganic emissions to water]</t>
  </si>
  <si>
    <t>Acidity [inorganic emissions to water]</t>
  </si>
  <si>
    <t>TOC [organic emissions to water]</t>
  </si>
  <si>
    <t>Cyanide [inorganic emissions to water]</t>
  </si>
  <si>
    <t>Phenols [organic emissions to water]</t>
  </si>
  <si>
    <t>Strontium 87 or 86 [inorganic emissions to water]</t>
  </si>
  <si>
    <t>Radium 226 [inorganic emissions to water]</t>
  </si>
  <si>
    <t>Radium 228 [inorganic emissions to water]</t>
  </si>
  <si>
    <t>Benzene [organic emissions to water]</t>
  </si>
  <si>
    <t>Toluene [organic emissions to water]</t>
  </si>
  <si>
    <t>Hydrogen Sulfide [inorganic emissions to water]</t>
  </si>
  <si>
    <t>TDS [emissions to agricultural soil]</t>
  </si>
  <si>
    <t>TSS [emissions to agricultural soil]</t>
  </si>
  <si>
    <t>Silver [inorganic emissions to agricultural soil]</t>
  </si>
  <si>
    <t>Aluminum [inorganic emissions to agricultural soil]</t>
  </si>
  <si>
    <t>Arsenic [inorganic emissions to agricultural soil]</t>
  </si>
  <si>
    <t>Boron [inorganic emissions to agricultural soil]</t>
  </si>
  <si>
    <t>Barium [inorganic emissions to agricultural soil]</t>
  </si>
  <si>
    <t>Berylium [inorganic emissions to agricultural soil]</t>
  </si>
  <si>
    <t>Bromine [inorganic emissions to agricultural soil]</t>
  </si>
  <si>
    <t>Calcium [inorganic emissions to agricultural soil]</t>
  </si>
  <si>
    <t>Cadmium [inorganic emissions to agricultural soil]</t>
  </si>
  <si>
    <t>Chlorine [inorganic emissions to agricultural soil]</t>
  </si>
  <si>
    <t>Cobalt [inorganic emissions to agricultural soil]</t>
  </si>
  <si>
    <t>Chromium [inorganic emissions to agricultural soil]</t>
  </si>
  <si>
    <t>Copper [inorganic emissions to agricultural soil]</t>
  </si>
  <si>
    <t>Fluorine [inorganic emissions to agricultural soil]</t>
  </si>
  <si>
    <t>Total Iron [inorganic emissions to agricultural soil]</t>
  </si>
  <si>
    <t>Bicarbonate [inorganic emissions to agricultural soil]</t>
  </si>
  <si>
    <t>Mercury [inorganic emissions to agricultural soil]</t>
  </si>
  <si>
    <t>Iodine [inorganic emissions to agricultural soil]</t>
  </si>
  <si>
    <t>Potassium [inorganic emissions to agricultural soil]</t>
  </si>
  <si>
    <t>Lithium [inorganic emissions to agricultural soil]</t>
  </si>
  <si>
    <t>Magnesium [inorganic emissions to agricultural soil]</t>
  </si>
  <si>
    <t>Manganese [inorganic emissions to agricultural soil]</t>
  </si>
  <si>
    <t>Molybdenum [inorganic emissions to agricultural soil]</t>
  </si>
  <si>
    <t>Nitrite [inorganic emissions to agricultural soil]</t>
  </si>
  <si>
    <t>Nitrate [inorganic emissions to agricultural soil]</t>
  </si>
  <si>
    <t>nitrate-nitrite [inorganic emissions to agricultural soil]</t>
  </si>
  <si>
    <t>Ammonium [inorganic emissions to agricultural soil]</t>
  </si>
  <si>
    <t>Total Kjeldahl Nitrogen [inorganic emissions to agricultural soil]</t>
  </si>
  <si>
    <t>Sodium [inorganic emissions to agricultural soil]</t>
  </si>
  <si>
    <t>Nickel [inorganic emissions to agricultural soil]</t>
  </si>
  <si>
    <t>Phosphate [inorganic emissions to agricultural soil]</t>
  </si>
  <si>
    <t>Lead [inorganic emissions to agricultural soil]</t>
  </si>
  <si>
    <t>Sulfur [inorganic emissions to agricultural soil]</t>
  </si>
  <si>
    <t>Sulfite [inorganic emissions to agricultural soil]</t>
  </si>
  <si>
    <t>Sulfate [inorganic emissions to agricultural soil]</t>
  </si>
  <si>
    <t>Antimony [inorganic emissions to agricultural soil]</t>
  </si>
  <si>
    <t>Selenium [inorganic emissions to agricultural soil]</t>
  </si>
  <si>
    <t>Silicon [inorganic emissions to agricultural soil]</t>
  </si>
  <si>
    <t>Tin [inorganic emissions to agricultural soil]</t>
  </si>
  <si>
    <t>Strontium [inorganic emissions to agricultural soil]</t>
  </si>
  <si>
    <t>Titanium [inorganic emissions toagricultural soil]</t>
  </si>
  <si>
    <t>Thalium [inorganic emissions to agricultural soil]</t>
  </si>
  <si>
    <t>Zinc [inorganic emissions to agricultural soil]</t>
  </si>
  <si>
    <t>Alkalinity [inorganic emissions to agricultural soil]</t>
  </si>
  <si>
    <t>Acidity [inorganic emissions to agricultural soil]</t>
  </si>
  <si>
    <t>TOC [organic emissions to agricultural soil]</t>
  </si>
  <si>
    <t>Cyanide [inorganic emissions to agricultural soil]</t>
  </si>
  <si>
    <t>Phenols [organic emissions to agricultural soil]</t>
  </si>
  <si>
    <t>Strontium 87 or 86 [inorganic emissions to agricultural soil]</t>
  </si>
  <si>
    <t>Radium 226 [inorganic emissions to agricultural soil]</t>
  </si>
  <si>
    <t>Radium 228 [inorganic emissions to agricultural soil]</t>
  </si>
  <si>
    <t xml:space="preserve">Benzene [organic emissions to agricultural soil] </t>
  </si>
  <si>
    <t>Toluene [organic emissions to agricultural soil]</t>
  </si>
  <si>
    <t>Hydrogen Sulfide [inorganic emissions to agricultural soil]</t>
  </si>
  <si>
    <t>Emissions to surface water</t>
  </si>
  <si>
    <t>Emissions to soil</t>
  </si>
  <si>
    <t xml:space="preserve">This unit process covers the water input and output associated with the stimulation process of producing a tight-formation natural gas well, as well as releases to the environment. </t>
  </si>
  <si>
    <t xml:space="preserve">This unit process provides a summary of relevant input and output flows associated with water use in producing a tight gas well. The only stimulation treatment considered is hydraulic fracturing. Water input is unique for each basin. Flowback water is calculated as a percentage of water input. Produced water is calculated as a function of natural gas production. Water effluent quality is calculated as well, and presented as mass flows releases to the environment. </t>
  </si>
  <si>
    <t>Review of State and Industry Spill Data: Characterization of Hydraulic Fracturing-Related Spills</t>
  </si>
  <si>
    <t>Burden, Susan; Cluff, Maryam A.; DeHaven, Leigh E.; Roberts, Cindy; Sharkey, Susan L.; Singer, Alison</t>
  </si>
  <si>
    <t>2015</t>
  </si>
  <si>
    <t>May</t>
  </si>
  <si>
    <t>2006-2012</t>
  </si>
  <si>
    <t>Arkansas, Colorado, Louisiana, New Mexico, Oklahoma, Pennsylvania, Texas, Utah, Wyoming</t>
  </si>
  <si>
    <t>Flow_XXX_water/soil</t>
  </si>
  <si>
    <t>*= [(spill volume) * (concentration of species XXX) / 10^6 (convert to kg)] * (probability of spill) * (probability spill reaches environmental receptor) * (probability that environmental receptor is soil/water) / (Estimated Ultimate Recovery * NG Density)</t>
  </si>
  <si>
    <t>kg / kg NG</t>
  </si>
  <si>
    <t>Only releases of flowback and produced water are considered, as they were determined to be the most likely</t>
  </si>
  <si>
    <t>The location of the spill is determined to be irrelevant, only the volume of the spill and the probability of it reaching an environmental receptor are considered</t>
  </si>
  <si>
    <t>Releases consider all volumes that reach environmental receptors, regardless of possible recovery</t>
  </si>
  <si>
    <t xml:space="preserve">Water Quality parameters developed from USGS produced water database represent a distribution of the average concentration. Parameters were developed only for species that had reported values for at least 15% of the available data samples. A value of zero does not necessarily indicate "not present in the produced water," it simply implies a lack of available data. </t>
  </si>
  <si>
    <t>Produced_Rate_ST</t>
  </si>
  <si>
    <t>OIL_EUR</t>
  </si>
  <si>
    <t>[bbl/well]</t>
  </si>
  <si>
    <t>NG_Energy</t>
  </si>
  <si>
    <t>OIL_Energy</t>
  </si>
  <si>
    <t>Co_Product_Multiplier</t>
  </si>
  <si>
    <t>[kg/MJ]</t>
  </si>
  <si>
    <t>Energy content of NG</t>
  </si>
  <si>
    <t>[bbl/MJ]</t>
  </si>
  <si>
    <t>Energy content of Oil</t>
  </si>
  <si>
    <t>Estimated Ultimate Recovery of Oil coproduct from 1 well</t>
  </si>
  <si>
    <t>[percent]</t>
  </si>
  <si>
    <t>The percent of water burdens that should be attributed to NG on an eneryg basis</t>
  </si>
  <si>
    <t>spill_volume_allocated</t>
  </si>
  <si>
    <t>Liters/well</t>
  </si>
  <si>
    <t>Uinta-Expected</t>
  </si>
  <si>
    <t>Uinta-Minimum</t>
  </si>
  <si>
    <t>Uinta-Maximum</t>
  </si>
  <si>
    <t>National Average - Expected</t>
  </si>
  <si>
    <t>National Average- Minimum</t>
  </si>
  <si>
    <t>National Average - Maximum</t>
  </si>
  <si>
    <t xml:space="preserve">This unit process is composed of this document and the file, DF_NG_Production_Water_Tight_2018.01.doc, which provides additional details regarding calculations, data quality, and references as relevant. </t>
  </si>
  <si>
    <t>Natural gas [reference flow]</t>
  </si>
  <si>
    <t>Water [flowback]</t>
  </si>
  <si>
    <t>Water [produced]</t>
  </si>
  <si>
    <t>spill_volume*Co_Product_Multiplier</t>
  </si>
  <si>
    <t>Estimated_Frac_Volume * 3.78/(Estimated_Ultimated_Recovery * NG_Density)*Co_Product_Multiplier</t>
  </si>
  <si>
    <t>Water_Input_Flow * Flowback_Volume_Percent</t>
  </si>
  <si>
    <t>Produced_Rate * 3.78 * 356 * 30 / (Estimated_Ultimate_Recovery * NG_Density)</t>
  </si>
  <si>
    <t>[(spill_volume_allocated) * Conc_TDS / 10^6]*prob_spill*prob_reach_env*perc_surfwater / (Estimated_Ultimate_Recovery * NG_Density)</t>
  </si>
  <si>
    <t>[(spill_volume_allocated) * Conc_TSS / 10^6]*prob_spill*prob_reach_env*perc_surfwater / (Estimated_Ultimate_Recovery * NG_Density)</t>
  </si>
  <si>
    <t>[(spill_volume_allocated) * Conc_Ag / 10^6]*prob_spill*prob_reach_env*perc_surfwater / (Estimated_Ultimate_Recovery * NG_Density)</t>
  </si>
  <si>
    <t>[(spill_volume_allocated) * Conc_Al / 10^6]*prob_spill*prob_reach_env*perc_surfwater / (Estimated_Ultimate_Recovery * NG_Density)</t>
  </si>
  <si>
    <t>[(spill_volume_allocated) * Conc_As/ 10^6]*prob_spill*prob_reach_env*perc_surfwater / (Estimated_Ultimate_Recovery * NG_Density)</t>
  </si>
  <si>
    <t>[(spill_volume_allocated) * Conc_B / 10^6]*prob_spill*prob_reach_env*perc_surfwater / (Estimated_Ultimate_Recovery * NG_Density)</t>
  </si>
  <si>
    <t>[(spill_volume_allocated) * Conc_Ba / 10^6]*prob_spill*prob_reach_env*perc_surfwater / (Estimated_Ultimate_Recovery * NG_Density)</t>
  </si>
  <si>
    <t>[(spill_volume_allocated) * Conc_Be/ 10^6]*prob_spill*prob_reach_env*perc_surfwater / (Estimated_Ultimate_Recovery * NG_Density)</t>
  </si>
  <si>
    <t>[(spill_volume_allocated) * Conc_Br / 10^6]*prob_spill*prob_reach_env*perc_surfwater / (Estimated_Ultimate_Recovery * NG_Density)</t>
  </si>
  <si>
    <t>[(spill_volume_allocated) * Conc_Ca / 10^6]*prob_spill*prob_reach_env*perc_surfwater / (Estimated_Ultimate_Recovery * NG_Density)</t>
  </si>
  <si>
    <t>[(spill_volume_allocated) * Conc_Cd / 10^6]*prob_spill*prob_reach_env*perc_surfwater / (Estimated_Ultimate_Recovery * NG_Density)</t>
  </si>
  <si>
    <t>[(spill_volume_allocated) * Conc_Cl / 10^6]*prob_spill*prob_reach_env*perc_surfwater / (Estimated_Ultimate_Recovery * NG_Density)</t>
  </si>
  <si>
    <t>[(spill_volume_allocated) * Conc_Co / 10^6]*prob_spill*prob_reach_env*perc_surfwater / (Estimated_Ultimate_Recovery * NG_Density)</t>
  </si>
  <si>
    <t>[(spill_volume_allocated) * Conc_Cr / 10^6]*prob_spill*prob_reach_env*perc_surfwater / (Estimated_Ultimate_Recovery * NG_Density)</t>
  </si>
  <si>
    <t>[(spill_volume_allocated) * Conc_Cu / 10^6]*prob_spill*prob_reach_env*perc_surfwater / (Estimated_Ultimate_Recovery * NG_Density)</t>
  </si>
  <si>
    <t>[(spill_volume_allocated) * Conc_F / 10^6]*prob_spill*prob_reach_env*perc_surfwater / (Estimated_Ultimate_Recovery * NG_Density)</t>
  </si>
  <si>
    <t>[(spill_volume_allocated) * Conc_FeTot / 10^6]*prob_spill*prob_reach_env*perc_surfwater / (Estimated_Ultimate_Recovery * NG_Density)</t>
  </si>
  <si>
    <t>[(spill_volume_allocated) * Conc_HCO3 / 10^6]*prob_spill*prob_reach_env*perc_surfwater / (Estimated_Ultimate_Recovery * NG_Density)</t>
  </si>
  <si>
    <t>[(spill_volume_allocated) * Conc_Hg / 10^6]*prob_spill*prob_reach_env*perc_surfwater / (Estimated_Ultimate_Recovery * NG_Density)</t>
  </si>
  <si>
    <t>[(spill_volume_allocated) * Conc_I / 10^6]*prob_spill*prob_reach_env*perc_surfwater / (Estimated_Ultimate_Recovery * NG_Density)</t>
  </si>
  <si>
    <t>[(spill_volume_allocated) * Conc_K / 10^6]*prob_spill*prob_reach_env*perc_surfwater / (Estimated_Ultimate_Recovery * NG_Density)</t>
  </si>
  <si>
    <t>[(spill_volume_allocated) * Conc_Li / 10^6]*prob_spill*prob_reach_env*perc_surfwater / (Estimated_Ultimate_Recovery * NG_Density)</t>
  </si>
  <si>
    <t>[(spill_volume_allocated) * Conc_Mg / 10^6]*prob_spill*prob_reach_env*perc_surfwater / (Estimated_Ultimate_Recovery * NG_Density)</t>
  </si>
  <si>
    <t>[(spill_volume_allocated) * Conc_Mn / 10^6]*prob_spill*prob_reach_env*perc_surfwater / (Estimated_Ultimate_Recovery * NG_Density)</t>
  </si>
  <si>
    <t>[(spill_volume_allocated) * Conc_Mo / 10^6]*prob_spill*prob_reach_env*perc_surfwater / (Estimated_Ultimate_Recovery * NG_Density)</t>
  </si>
  <si>
    <t>[(spill_volume_allocated) * Conc_NO2 / 10^6]*prob_spill*prob_reach_env*perc_surfwater / (Estimated_Ultimate_Recovery * NG_Density)</t>
  </si>
  <si>
    <t>[(spill_volume_allocated) * Conc_NO3 / 10^6]*prob_spill*prob_reach_env*perc_surfwater / (Estimated_Ultimate_Recovery * NG_Density)</t>
  </si>
  <si>
    <t>[(spill_volume_allocated) * Conc_NO3NO2/ 10^6]*prob_spill*prob_reach_env*perc_surfwater / (Estimated_Ultimate_Recovery * NG_Density)</t>
  </si>
  <si>
    <t>[(spill_volume_allocated) * Conc_NH4 / 10^6]*prob_spill*prob_reach_env*perc_surfwater / (Estimated_Ultimate_Recovery * NG_Density)</t>
  </si>
  <si>
    <t>[(spill_volume_allocated) * Conc_TKN / 10^6]*prob_spill*prob_reach_env*perc_surfwater / (Estimated_Ultimate_Recovery * NG_Density)</t>
  </si>
  <si>
    <t>[(spill_volume_allocated) * Conc_Na / 10^6]*prob_spill*prob_reach_env*perc_surfwater / (Estimated_Ultimate_Recovery * NG_Density)</t>
  </si>
  <si>
    <t>[(spill_volume_allocated) * Conc_Ni / 10^6]*prob_spill*prob_reach_env*perc_surfwater / (Estimated_Ultimate_Recovery * NG_Density)</t>
  </si>
  <si>
    <t>[(spill_volume_allocated) * Conc_PO4 / 10^6]*prob_spill*prob_reach_env*perc_surfwater / (Estimated_Ultimate_Recovery * NG_Density)</t>
  </si>
  <si>
    <t>[(spill_volume_allocated) * Conc_Pb / 10^6]*prob_spill*prob_reach_env*perc_surfwater / (Estimated_Ultimate_Recovery * NG_Density)</t>
  </si>
  <si>
    <t>[(spill_volume_allocated) * Conc_S / 10^6]*prob_spill*prob_reach_env*perc_surfwater / (Estimated_Ultimate_Recovery * NG_Density)</t>
  </si>
  <si>
    <t>[(spill_volume_allocated) * Conc_SO3 / 10^6]*prob_spill*prob_reach_env*perc_surfwater / (Estimated_Ultimate_Recovery * NG_Density)</t>
  </si>
  <si>
    <t>[(spill_volume_allocated) * Conc_SO4 / 10^6]*prob_spill*prob_reach_env*perc_surfwater / (Estimated_Ultimate_Recovery * NG_Density)</t>
  </si>
  <si>
    <t>[(spill_volume_allocated) * Conc_Sb/ 10^6]*prob_spill*prob_reach_env*perc_surfwater / (Estimated_Ultimate_Recovery * NG_Density)</t>
  </si>
  <si>
    <t>[(spill_volume_allocated) * Conc_Se / 10^6]*prob_spill*prob_reach_env*perc_surfwater / (Estimated_Ultimate_Recovery * NG_Density)</t>
  </si>
  <si>
    <t>[(spill_volume_allocated) * Conc_Si / 10^6]*prob_spill*prob_reach_env*perc_surfwater / (Estimated_Ultimate_Recovery * NG_Density)</t>
  </si>
  <si>
    <t>[(spill_volume_allocated) * Conc_Sn/ 10^6]*prob_spill*prob_reach_env*perc_surfwater / (Estimated_Ultimate_Recovery * NG_Density)</t>
  </si>
  <si>
    <t>[(spill_volume_allocated) * Conc_Sr/ 10^6]*prob_spill*prob_reach_env*perc_surfwater / (Estimated_Ultimate_Recovery * NG_Density)</t>
  </si>
  <si>
    <t>[(spill_volume_allocated) * Conc_Ti / 10^6]*prob_spill*prob_reach_env*perc_surfwater / (Estimated_Ultimate_Recovery * NG_Density)</t>
  </si>
  <si>
    <t>[(spill_volume_allocated) * Conc_Tl / 10^6]*prob_spill*prob_reach_env*perc_surfwater / (Estimated_Ultimate_Recovery * NG_Density)</t>
  </si>
  <si>
    <t>[(spill_volume_allocated) * Conc_Zn/ 10^6]*prob_spill*prob_reach_env*perc_surfwater / (Estimated_Ultimate_Recovery * NG_Density)</t>
  </si>
  <si>
    <t>[(spill_volume_allocated) * Conc_ALKHCO3 / 10^6]*prob_spill*prob_reach_env*perc_surfwater / (Estimated_Ultimate_Recovery * NG_Density)</t>
  </si>
  <si>
    <t>[(spill_volume_allocated) * Conc_Acidity/ 10^6]*prob_spill*prob_reach_env*perc_surfwater / (Estimated_Ultimate_Recovery * NG_Density)</t>
  </si>
  <si>
    <t>[(spill_volume_allocated) * Conc_TOC / 10^6]*prob_spill*prob_reach_env*perc_surfwater / (Estimated_Ultimate_Recovery * NG_Density)</t>
  </si>
  <si>
    <t>[(spill_volume_allocated) * Conc_CN/ 10^6]*prob_spill*prob_reach_env*perc_surfwater / (Estimated_Ultimate_Recovery * NG_Density)</t>
  </si>
  <si>
    <t>[(spill_volume_allocated) * Conc_Phenols / 10^6]*prob_spill*prob_reach_env*perc_surfwater / (Estimated_Ultimate_Recovery * NG_Density)</t>
  </si>
  <si>
    <t>[(spill_volume_allocated) * Conc_Sr87Sr86 / 10^6]*prob_spill*prob_reach_env*perc_surfwater / (Estimated_Ultimate_Recovery * NG_Density)</t>
  </si>
  <si>
    <t>[(spill_volume_allocated) * Conc_Ra226 / 10^6]*prob_spill*prob_reach_env*perc_surfwater / (Estimated_Ultimate_Recovery * NG_Density)</t>
  </si>
  <si>
    <t>[(spill_volume_allocated) * Conc_Ra228 / 10^6]*prob_spill*prob_reach_env*perc_surfwater / (Estimated_Ultimate_Recovery * NG_Density)</t>
  </si>
  <si>
    <t>[(spill_volume_allocated) * Conc_Benzene / 10^6]*prob_spill*prob_reach_env*perc_surfwater / (Estimated_Ultimate_Recovery * NG_Density)</t>
  </si>
  <si>
    <t>[(spill_volume_allocated) * Conc_Toluene / 10^6]*prob_spill*prob_reach_env*perc_surfwater / (Estimated_Ultimate_Recovery * NG_Density)</t>
  </si>
  <si>
    <t>[(spill_volume_allocated) * Conc_H2S / 10^6]*prob_spill*prob_reach_env*perc_surfwater / (Estimated_Ultimate_Recovery * NG_Density)</t>
  </si>
  <si>
    <t>[(spill_volume_allocated) * Conc_TDS / 10^6]*prob_spill*prob_reach_env*perc_soil / (Estimated_Ultimate_Recovery * NG_Density)</t>
  </si>
  <si>
    <t>[(spill_volume_allocated) * Conc_TSS / 10^6]*prob_spill*prob_reach_env*perc_soil / (Estimated_Ultimate_Recovery * NG_Density)</t>
  </si>
  <si>
    <t>[(spill_volume_allocated) * Conc_Ag / 10^6]*prob_spill*prob_reach_env*perc_soil / (Estimated_Ultimate_Recovery * NG_Density)</t>
  </si>
  <si>
    <t>[(spill_volume_allocated) * Conc_Al / 10^6]*prob_spill*prob_reach_env*perc_soil / (Estimated_Ultimate_Recovery * NG_Density)</t>
  </si>
  <si>
    <t>[(spill_volume_allocated) * Conc_As / 10^6]*prob_spill*prob_reach_env*perc_soil / (Estimated_Ultimate_Recovery * NG_Density)</t>
  </si>
  <si>
    <t>[(spill_volume_allocated) * Conc_B / 10^6]*prob_spill*prob_reach_env*perc_soil / (Estimated_Ultimate_Recovery * NG_Density)</t>
  </si>
  <si>
    <t>[(spill_volume_allocated) * Conc_Ba / 10^6]*prob_spill*prob_reach_env*perc_soil / (Estimated_Ultimate_Recovery * NG_Density)</t>
  </si>
  <si>
    <t>[(spill_volume_allocated) * Conc_Be / 10^6]*prob_spill*prob_reach_env*perc_soil / (Estimated_Ultimate_Recovery * NG_Density)</t>
  </si>
  <si>
    <t>[(spill_volume_allocated) * Conc_Br / 10^6]*prob_spill*prob_reach_env*perc_soil / (Estimated_Ultimate_Recovery * NG_Density)</t>
  </si>
  <si>
    <t>[(spill_volume_allocated) * Conc_Ca / 10^6]*prob_spill*prob_reach_env*perc_soil / (Estimated_Ultimate_Recovery * NG_Density)</t>
  </si>
  <si>
    <t>[(spill_volume_allocated) * Conc_Cd / 10^6]*prob_spill*prob_reach_env*perc_soil / (Estimated_Ultimate_Recovery * NG_Density)</t>
  </si>
  <si>
    <t>[(spill_volume_allocated) * Conc_Cl / 10^6]*prob_spill*prob_reach_env*perc_soil / (Estimated_Ultimate_Recovery * NG_Density)</t>
  </si>
  <si>
    <t>[(spill_volume_allocated) * Conc_Co / 10^6]*prob_spill*prob_reach_env*perc_soil / (Estimated_Ultimate_Recovery * NG_Density)</t>
  </si>
  <si>
    <t>[(spill_volume_allocated) * Conc_Cr / 10^6]*prob_spill*prob_reach_env*perc_soil / (Estimated_Ultimate_Recovery * NG_Density)</t>
  </si>
  <si>
    <t>[(spill_volume_allocated) * Conc_Cu / 10^6]*prob_spill*prob_reach_env*perc_soil / (Estimated_Ultimate_Recovery * NG_Density)</t>
  </si>
  <si>
    <t>[(spill_volume_allocated) * Conc_F / 10^6]*prob_spill*prob_reach_env*perc_soil / (Estimated_Ultimate_Recovery * NG_Density)</t>
  </si>
  <si>
    <t>[(spill_volume_allocated) * Conc_FeTot / 10^6]*prob_spill*prob_reach_env*perc_soil / (Estimated_Ultimate_Recovery * NG_Density)</t>
  </si>
  <si>
    <t>[(spill_volume_allocated) * Conc_HCO3 / 10^6]*prob_spill*prob_reach_env*perc_soil / (Estimated_Ultimate_Recovery * NG_Density)</t>
  </si>
  <si>
    <t>[(spill_volume_allocated) * Conc_Hg / 10^6]*prob_spill*prob_reach_env*perc_soil / (Estimated_Ultimate_Recovery * NG_Density)</t>
  </si>
  <si>
    <t>[(spill_volume_allocated) * Conc_I / 10^6]*prob_spill*prob_reach_env*perc_soil / (Estimated_Ultimate_Recovery * NG_Density)</t>
  </si>
  <si>
    <t>[(spill_volume_allocated) * Conc_K / 10^6]*prob_spill*prob_reach_env*perc_soil / (Estimated_Ultimate_Recovery * NG_Density)</t>
  </si>
  <si>
    <t>[(spill_volume_allocated) * Conc_Li / 10^6]*prob_spill*prob_reach_env*perc_soil / (Estimated_Ultimate_Recovery * NG_Density)</t>
  </si>
  <si>
    <t>[(spill_volume_allocated) * Conc_Mg / 10^6]*prob_spill*prob_reach_env*perc_soil / (Estimated_Ultimate_Recovery * NG_Density)</t>
  </si>
  <si>
    <t>[(spill_volume_allocated) * Conc_Mn / 10^6]*prob_spill*prob_reach_env*perc_soil / (Estimated_Ultimate_Recovery * NG_Density)</t>
  </si>
  <si>
    <t>[(spill_volume_allocated) * Conc_Mo / 10^6]*prob_spill*prob_reach_env*perc_soil / (Estimated_Ultimate_Recovery * NG_Density)</t>
  </si>
  <si>
    <t>[(spill_volume_allocated) * Conc_NO2 / 10^6]*prob_spill*prob_reach_env*perc_soil / (Estimated_Ultimate_Recovery * NG_Density)</t>
  </si>
  <si>
    <t>[(spill_volume_allocated) * Conc_NO3 / 10^6]*prob_spill*prob_reach_env*perc_soil / (Estimated_Ultimate_Recovery * NG_Density)</t>
  </si>
  <si>
    <t>[(spill_volume_allocated) * Conc_NO3NO2 / 10^6]*prob_spill*prob_reach_env*perc_soil / (Estimated_Ultimate_Recovery * NG_Density)</t>
  </si>
  <si>
    <t>[(spill_volume_allocated) * Conc_NH4 / 10^6]*prob_spill*prob_reach_env*perc_soil / (Estimated_Ultimate_Recovery * NG_Density)</t>
  </si>
  <si>
    <t>[(spill_volume_allocated) * Conc_TKN / 10^6]*prob_spill*prob_reach_env*perc_soil / (Estimated_Ultimate_Recovery * NG_Density)</t>
  </si>
  <si>
    <t>[(spill_volume_allocated) * Conc_Na / 10^6]*prob_spill*prob_reach_env*perc_soil / (Estimated_Ultimate_Recovery * NG_Density)</t>
  </si>
  <si>
    <t>[(spill_volume_allocated) * Conc_Ni / 10^6]*prob_spill*prob_reach_env*perc_soil / (Estimated_Ultimate_Recovery * NG_Density)</t>
  </si>
  <si>
    <t>[(spill_volume_allocated) * Conc_PO4 / 10^6]*prob_spill*prob_reach_env*perc_soil / (Estimated_Ultimate_Recovery * NG_Density)</t>
  </si>
  <si>
    <t>[(spill_volume_allocated) * Conc_Pb / 10^6]*prob_spill*prob_reach_env*perc_soil / (Estimated_Ultimate_Recovery * NG_Density)</t>
  </si>
  <si>
    <t>[(spill_volume_allocated) * Conc_S / 10^6]*prob_spill*prob_reach_env*perc_soil / (Estimated_Ultimate_Recovery * NG_Density)</t>
  </si>
  <si>
    <t>[(spill_volume_allocated) * Conc_SO3 / 10^6]*prob_spill*prob_reach_env*perc_soil / (Estimated_Ultimate_Recovery * NG_Density)</t>
  </si>
  <si>
    <t>[(spill_volume_allocated) * Conc_SO4 / 10^6]*prob_spill*prob_reach_env*perc_soil / (Estimated_Ultimate_Recovery * NG_Density)</t>
  </si>
  <si>
    <t>[(spill_volume_allocated) * Conc_Sb / 10^6]*prob_spill*prob_reach_env*perc_soil / (Estimated_Ultimate_Recovery * NG_Density)</t>
  </si>
  <si>
    <t>[(spill_volume_allocated) * Conc_Se / 10^6]*prob_spill*prob_reach_env*perc_soil / (Estimated_Ultimate_Recovery * NG_Density)</t>
  </si>
  <si>
    <t>[(spill_volume_allocated) * Conc_Si / 10^6]*prob_spill*prob_reach_env*perc_soil / (Estimated_Ultimate_Recovery * NG_Density)</t>
  </si>
  <si>
    <t>[(spill_volume_allocated) * Conc_Sn / 10^6]*prob_spill*prob_reach_env*perc_soil / (Estimated_Ultimate_Recovery * NG_Density)</t>
  </si>
  <si>
    <t>[(spill_volume_allocated) * Conc_Sr / 10^6]*prob_spill*prob_reach_env*perc_soil / (Estimated_Ultimate_Recovery * NG_Density)</t>
  </si>
  <si>
    <t>[(spill_volume_allocated) * Conc_Ti / 10^6]*prob_spill*prob_reach_env*perc_soil / (Estimated_Ultimate_Recovery * NG_Density)</t>
  </si>
  <si>
    <t>[(spill_volume_allocated) * Conc_Tl / 10^6]*prob_spill*prob_reach_env*perc_soil / (Estimated_Ultimate_Recovery * NG_Density)</t>
  </si>
  <si>
    <t>[(spill_volume_allocated) * Conc_Zn / 10^6]*prob_spill*prob_reach_env*perc_soil / (Estimated_Ultimate_Recovery * NG_Density)</t>
  </si>
  <si>
    <t>[(spill_volume_allocated) * Conc_ALKHCO3 / 10^6]*prob_spill*prob_reach_env*perc_soil / (Estimated_Ultimate_Recovery * NG_Density)</t>
  </si>
  <si>
    <t>[(spill_volume_allocated) * Conc_Acidity / 10^6]*prob_spill*prob_reach_env*perc_soil / (Estimated_Ultimate_Recovery * NG_Density)</t>
  </si>
  <si>
    <t>[(spill_volume_allocated) * Conc_TOC / 10^6]*prob_spill*prob_reach_env*perc_soil / (Estimated_Ultimate_Recovery * NG_Density)</t>
  </si>
  <si>
    <t>[(spill_volume_allocated) * Conc_CN / 10^6]*prob_spill*prob_reach_env*perc_soil / (Estimated_Ultimate_Recovery * NG_Density)</t>
  </si>
  <si>
    <t>[(spill_volume_allocated) * Conc_Phenols / 10^6]*prob_spill*prob_reach_env*perc_soil / (Estimated_Ultimate_Recovery * NG_Density)</t>
  </si>
  <si>
    <t>[(spill_volume_allocated) * Conc_Sr87Sr86 / 10^6]*prob_spill*prob_reach_env*perc_soil / (Estimated_Ultimate_Recovery * NG_Density)</t>
  </si>
  <si>
    <t>[(spill_volume_allocated) * Conc_Ra226 / 10^6]*prob_spill*prob_reach_env*perc_soil / (Estimated_Ultimate_Recovery * NG_Density)</t>
  </si>
  <si>
    <t>[(spill_volume_allocated) * Conc_Ra228 / 10^6]*prob_spill*prob_reach_env*perc_soil / (Estimated_Ultimate_Recovery * NG_Density)</t>
  </si>
  <si>
    <t>[(spill_volume_allocated) * Conc_Benzene / 10^6]*prob_spill*prob_reach_env*perc_soil / (Estimated_Ultimate_Recovery * NG_Density)</t>
  </si>
  <si>
    <t>[(spill_volume_allocated) * Conc_Toluene / 10^6]*prob_spill*prob_reach_env*perc_soil / (Estimated_Ultimate_Recovery * NG_Density)</t>
  </si>
  <si>
    <t>[(spill_volume_allocated) * Conc_H2S / 10^6]*prob_spill*prob_reach_env*perc_soil / (Estimated_Ultimate_Recovery * NG_Density)</t>
  </si>
  <si>
    <t xml:space="preserve"> Water_Input_Flow * Input_Source_Recycle_Percent</t>
  </si>
  <si>
    <t xml:space="preserve"> Water_Input_Flow * Input_Source_Surface_Percent</t>
  </si>
  <si>
    <t xml:space="preserve"> Water_Input_Flow * Input_Source_Ground_Percent</t>
  </si>
  <si>
    <t xml:space="preserve"> Water_Input_Flow * Input_Source_Brackish_Percent</t>
  </si>
  <si>
    <t>Energy Units and Calculators Explained</t>
  </si>
  <si>
    <t>U.S. Energy Information Administration</t>
  </si>
  <si>
    <t>2018</t>
  </si>
  <si>
    <t>August 8</t>
  </si>
  <si>
    <t>EIA</t>
  </si>
  <si>
    <t>https://www.eia.gov/energyexplained/index.php?page=about_energy_units</t>
  </si>
  <si>
    <t>1/22/2019</t>
  </si>
  <si>
    <t>Heat Content of Natural Gas Consumed</t>
  </si>
  <si>
    <t>Compendium of Greenhouse gas Emissions Methodologies for the Oil and Natural Gas Industry</t>
  </si>
  <si>
    <t>American Petroleum Institute</t>
  </si>
  <si>
    <t>2009</t>
  </si>
  <si>
    <t>12/31</t>
  </si>
  <si>
    <t>August</t>
  </si>
  <si>
    <t>API</t>
  </si>
  <si>
    <t>https://www.eia.gov/dnav/ng/ng_cons_heat_a_EPG0_VGTH_btucf_a.htm</t>
  </si>
  <si>
    <t>https://www.api.org/~/media/Files/EHS/climate-change/2009_GHG_COMPENDIUM.pdf</t>
  </si>
  <si>
    <t>8,9</t>
  </si>
  <si>
    <t>2,5,7,8,9</t>
  </si>
  <si>
    <t>2,3,5,7,8,9</t>
  </si>
  <si>
    <t>1,2,3,5,7,8,9</t>
  </si>
  <si>
    <t>2,5,6,7,8,9</t>
  </si>
  <si>
    <t>2,4,5,6,7,8,9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</si>
</sst>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
    <numFmt numFmtId="165" formatCode="0.000"/>
    <numFmt numFmtId="166" formatCode="0.000000"/>
    <numFmt numFmtId="167" formatCode="0.00000"/>
  </numFmts>
  <fonts count="3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b/>
      <sz val="9"/>
      <color indexed="81"/>
      <name val="Tahoma"/>
      <family val="2"/>
    </font>
    <font>
      <sz val="9"/>
      <color indexed="81"/>
      <name val="Tahoma"/>
      <family val="2"/>
    </font>
  </fonts>
  <fills count="17">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theme="8" tint="0.79998168889431442"/>
        <bgColor indexed="64"/>
      </patternFill>
    </fill>
  </fills>
  <borders count="43">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90">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9" fillId="0" borderId="0" xfId="2" applyFont="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0" fontId="15" fillId="0" borderId="16" xfId="0" applyFont="1" applyBorder="1" applyProtection="1">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15" fillId="0" borderId="16" xfId="0" applyFont="1" applyBorder="1" applyAlignment="1">
      <alignment vertical="top"/>
    </xf>
    <xf numFmtId="0" fontId="4" fillId="5" borderId="16" xfId="0" applyFont="1" applyFill="1" applyBorder="1" applyAlignment="1" applyProtection="1">
      <alignment vertical="top"/>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6" fillId="2" borderId="0" xfId="2" applyFont="1" applyFill="1"/>
    <xf numFmtId="0" fontId="17" fillId="0" borderId="0" xfId="2" applyFont="1" applyFill="1" applyAlignment="1">
      <alignment horizontal="center"/>
    </xf>
    <xf numFmtId="0" fontId="3" fillId="0" borderId="16" xfId="0" applyFont="1" applyBorder="1" applyAlignment="1">
      <alignment horizontal="center"/>
    </xf>
    <xf numFmtId="0" fontId="7" fillId="0" borderId="16" xfId="2" applyFont="1" applyFill="1" applyBorder="1" applyAlignment="1">
      <alignment horizontal="center" wrapText="1"/>
    </xf>
    <xf numFmtId="0" fontId="7" fillId="0" borderId="28" xfId="2" applyFont="1" applyBorder="1" applyProtection="1">
      <protection locked="0"/>
    </xf>
    <xf numFmtId="164" fontId="15" fillId="0" borderId="16" xfId="0" applyNumberFormat="1" applyFont="1" applyFill="1" applyBorder="1"/>
    <xf numFmtId="0" fontId="4" fillId="0" borderId="28" xfId="2" applyFont="1" applyFill="1" applyBorder="1" applyProtection="1">
      <protection locked="0"/>
    </xf>
    <xf numFmtId="0" fontId="4" fillId="0" borderId="30" xfId="2" applyFont="1" applyFill="1" applyBorder="1" applyProtection="1">
      <protection locked="0"/>
    </xf>
    <xf numFmtId="165" fontId="15" fillId="0" borderId="32" xfId="0" applyNumberFormat="1" applyFont="1" applyFill="1" applyBorder="1"/>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5" xfId="2" applyFont="1" applyFill="1" applyBorder="1" applyAlignment="1">
      <alignment horizontal="center"/>
    </xf>
    <xf numFmtId="0" fontId="25" fillId="0" borderId="35" xfId="2" applyFont="1" applyBorder="1" applyAlignment="1">
      <alignment wrapText="1"/>
    </xf>
    <xf numFmtId="0" fontId="26" fillId="0" borderId="35" xfId="2" applyFont="1" applyBorder="1" applyAlignment="1">
      <alignment wrapText="1"/>
    </xf>
    <xf numFmtId="0" fontId="6" fillId="0" borderId="34"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5"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5" fillId="0" borderId="0" xfId="2" applyFont="1" applyFill="1"/>
    <xf numFmtId="0" fontId="31" fillId="0" borderId="0" xfId="2" applyFont="1" applyFill="1"/>
    <xf numFmtId="0" fontId="15" fillId="0" borderId="0" xfId="2" applyFont="1" applyFill="1" applyAlignment="1">
      <alignment horizontal="left"/>
    </xf>
    <xf numFmtId="0" fontId="15"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5" fillId="0" borderId="9" xfId="2" applyFont="1" applyFill="1" applyBorder="1"/>
    <xf numFmtId="0" fontId="15" fillId="0" borderId="24" xfId="2" applyFont="1" applyFill="1" applyBorder="1"/>
    <xf numFmtId="0" fontId="15" fillId="0" borderId="22" xfId="0" applyFont="1" applyBorder="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4" fillId="0" borderId="28" xfId="2" applyFont="1" applyBorder="1" applyProtection="1">
      <protection locked="0"/>
    </xf>
    <xf numFmtId="0" fontId="0" fillId="0" borderId="28" xfId="0" applyFill="1" applyBorder="1"/>
    <xf numFmtId="0" fontId="0" fillId="0" borderId="37" xfId="0" applyFill="1" applyBorder="1"/>
    <xf numFmtId="0" fontId="4" fillId="0" borderId="37" xfId="2" applyFont="1" applyFill="1" applyBorder="1" applyProtection="1">
      <protection locked="0"/>
    </xf>
    <xf numFmtId="164" fontId="15" fillId="6" borderId="16" xfId="0" applyNumberFormat="1" applyFont="1" applyFill="1" applyBorder="1"/>
    <xf numFmtId="2" fontId="15" fillId="6" borderId="16" xfId="0" applyNumberFormat="1" applyFont="1" applyFill="1" applyBorder="1"/>
    <xf numFmtId="11" fontId="15" fillId="6" borderId="16" xfId="0" applyNumberFormat="1" applyFont="1" applyFill="1" applyBorder="1"/>
    <xf numFmtId="165" fontId="15" fillId="6" borderId="16" xfId="0" applyNumberFormat="1" applyFont="1" applyFill="1" applyBorder="1"/>
    <xf numFmtId="0" fontId="15" fillId="0" borderId="11" xfId="0" applyFont="1" applyBorder="1" applyProtection="1">
      <protection locked="0"/>
    </xf>
    <xf numFmtId="0" fontId="15" fillId="0" borderId="38" xfId="0" applyFont="1" applyBorder="1" applyProtection="1">
      <protection locked="0"/>
    </xf>
    <xf numFmtId="0" fontId="15" fillId="0" borderId="20" xfId="0" applyFont="1" applyBorder="1" applyProtection="1">
      <protection locked="0"/>
    </xf>
    <xf numFmtId="0" fontId="15" fillId="0" borderId="16" xfId="0" applyFont="1" applyBorder="1" applyAlignment="1" applyProtection="1">
      <alignment horizontal="left"/>
      <protection locked="0"/>
    </xf>
    <xf numFmtId="0" fontId="3" fillId="11" borderId="16" xfId="0" applyFont="1" applyFill="1" applyBorder="1" applyAlignment="1">
      <alignment horizontal="center"/>
    </xf>
    <xf numFmtId="164" fontId="15" fillId="6" borderId="16" xfId="0" applyNumberFormat="1" applyFont="1" applyFill="1" applyBorder="1" applyAlignment="1">
      <alignment horizontal="right"/>
    </xf>
    <xf numFmtId="165" fontId="15" fillId="0" borderId="16" xfId="0" applyNumberFormat="1" applyFont="1" applyFill="1" applyBorder="1"/>
    <xf numFmtId="0" fontId="2" fillId="0" borderId="39" xfId="2" applyFont="1" applyFill="1" applyBorder="1" applyAlignment="1">
      <alignment horizontal="center"/>
    </xf>
    <xf numFmtId="0" fontId="15" fillId="0" borderId="29" xfId="0" applyFont="1" applyBorder="1" applyProtection="1">
      <protection locked="0"/>
    </xf>
    <xf numFmtId="0" fontId="19" fillId="0" borderId="29" xfId="0" applyFont="1" applyBorder="1" applyProtection="1">
      <protection locked="0"/>
    </xf>
    <xf numFmtId="165" fontId="15" fillId="6" borderId="32" xfId="0" applyNumberFormat="1" applyFont="1" applyFill="1" applyBorder="1"/>
    <xf numFmtId="0" fontId="15" fillId="0" borderId="31" xfId="0" applyFont="1" applyBorder="1" applyProtection="1">
      <protection locked="0"/>
    </xf>
    <xf numFmtId="167" fontId="15" fillId="10" borderId="16" xfId="0" applyNumberFormat="1" applyFont="1" applyFill="1" applyBorder="1" applyAlignment="1" applyProtection="1">
      <alignment vertical="top"/>
      <protection hidden="1"/>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11" fontId="15" fillId="0" borderId="16" xfId="1" applyNumberFormat="1" applyFont="1" applyFill="1" applyBorder="1" applyAlignment="1" applyProtection="1">
      <alignment vertical="top"/>
      <protection hidden="1"/>
    </xf>
    <xf numFmtId="0" fontId="15" fillId="0" borderId="16" xfId="0" applyFont="1" applyFill="1" applyBorder="1" applyAlignment="1" applyProtection="1">
      <alignment vertical="top"/>
      <protection hidden="1"/>
    </xf>
    <xf numFmtId="167" fontId="15" fillId="0" borderId="16" xfId="0" applyNumberFormat="1" applyFont="1" applyFill="1" applyBorder="1" applyAlignment="1" applyProtection="1">
      <alignment vertical="top"/>
      <protection hidden="1"/>
    </xf>
    <xf numFmtId="0" fontId="15" fillId="0" borderId="16" xfId="0" applyFont="1" applyBorder="1" applyAlignment="1" applyProtection="1">
      <alignment horizontal="righ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0" borderId="16" xfId="2" applyFont="1" applyFill="1" applyBorder="1" applyAlignment="1" applyProtection="1">
      <alignment horizontal="left" vertical="top" wrapText="1"/>
      <protection locked="0"/>
    </xf>
    <xf numFmtId="0" fontId="4" fillId="0" borderId="10" xfId="2" applyFont="1" applyBorder="1" applyAlignment="1" applyProtection="1">
      <alignment horizontal="left"/>
      <protection locked="0"/>
    </xf>
    <xf numFmtId="0" fontId="15" fillId="0" borderId="40" xfId="0" applyFont="1" applyBorder="1" applyProtection="1">
      <protection locked="0"/>
    </xf>
    <xf numFmtId="11" fontId="15" fillId="0" borderId="16" xfId="0" applyNumberFormat="1" applyFont="1" applyFill="1" applyBorder="1"/>
    <xf numFmtId="11" fontId="15" fillId="10" borderId="16" xfId="0" applyNumberFormat="1" applyFont="1" applyFill="1" applyBorder="1" applyAlignment="1" applyProtection="1">
      <alignment vertical="top"/>
      <protection hidden="1"/>
    </xf>
    <xf numFmtId="0" fontId="4" fillId="0" borderId="16" xfId="2" applyFont="1" applyFill="1" applyBorder="1" applyAlignment="1" applyProtection="1">
      <alignment horizontal="left" vertical="top"/>
      <protection locked="0"/>
    </xf>
    <xf numFmtId="0" fontId="4" fillId="0" borderId="16" xfId="2" applyFont="1" applyFill="1" applyBorder="1" applyAlignment="1" applyProtection="1">
      <alignment vertical="top"/>
      <protection locked="0"/>
    </xf>
    <xf numFmtId="0" fontId="4" fillId="0" borderId="10" xfId="2" applyFont="1" applyFill="1" applyBorder="1" applyAlignment="1" applyProtection="1">
      <alignment vertical="top"/>
      <protection locked="0"/>
    </xf>
    <xf numFmtId="0" fontId="4" fillId="0" borderId="17" xfId="2" applyFont="1" applyFill="1" applyBorder="1" applyAlignment="1" applyProtection="1">
      <alignment vertical="top"/>
      <protection locked="0"/>
    </xf>
    <xf numFmtId="0" fontId="15" fillId="0" borderId="0" xfId="0" applyFont="1" applyAlignment="1">
      <alignment wrapText="1"/>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166" fontId="15" fillId="0" borderId="16" xfId="0" applyNumberFormat="1" applyFont="1" applyFill="1" applyBorder="1"/>
    <xf numFmtId="0" fontId="17" fillId="0" borderId="0" xfId="2" applyFont="1" applyFill="1" applyAlignment="1">
      <alignment horizontal="center"/>
    </xf>
    <xf numFmtId="0" fontId="17" fillId="0" borderId="0" xfId="2" applyFont="1" applyFill="1" applyAlignment="1">
      <alignment horizontal="center"/>
    </xf>
    <xf numFmtId="0" fontId="3" fillId="0" borderId="41" xfId="0" applyFont="1" applyBorder="1" applyAlignment="1">
      <alignment horizontal="center"/>
    </xf>
    <xf numFmtId="0" fontId="3" fillId="0" borderId="1" xfId="0" applyFont="1" applyBorder="1" applyAlignment="1">
      <alignment horizontal="center"/>
    </xf>
    <xf numFmtId="0" fontId="18" fillId="0" borderId="1" xfId="0" applyFont="1" applyFill="1" applyBorder="1" applyAlignment="1">
      <alignment horizontal="center"/>
    </xf>
    <xf numFmtId="164" fontId="15" fillId="0" borderId="1" xfId="0" applyNumberFormat="1" applyFont="1" applyFill="1" applyBorder="1"/>
    <xf numFmtId="165" fontId="15" fillId="0" borderId="42" xfId="0" applyNumberFormat="1" applyFont="1" applyFill="1" applyBorder="1"/>
    <xf numFmtId="0" fontId="7" fillId="0" borderId="17" xfId="2" applyFont="1" applyFill="1" applyBorder="1" applyAlignment="1">
      <alignment horizontal="center" wrapText="1"/>
    </xf>
    <xf numFmtId="164" fontId="0" fillId="0" borderId="16" xfId="0" applyNumberFormat="1" applyBorder="1"/>
    <xf numFmtId="0" fontId="7" fillId="0" borderId="10" xfId="2" applyFont="1" applyFill="1" applyBorder="1" applyAlignment="1">
      <alignment horizontal="center" wrapText="1"/>
    </xf>
    <xf numFmtId="164" fontId="0" fillId="0" borderId="1" xfId="0" applyNumberFormat="1" applyBorder="1"/>
    <xf numFmtId="0" fontId="0" fillId="0" borderId="16" xfId="0" applyBorder="1"/>
    <xf numFmtId="11" fontId="0" fillId="0" borderId="0" xfId="0" applyNumberFormat="1"/>
    <xf numFmtId="0" fontId="0" fillId="16" borderId="0" xfId="0" applyFill="1"/>
    <xf numFmtId="0" fontId="4" fillId="2" borderId="0" xfId="2" applyFont="1" applyFill="1" applyAlignment="1">
      <alignment horizontal="left" wrapText="1"/>
    </xf>
    <xf numFmtId="0" fontId="4" fillId="2" borderId="0" xfId="2" applyFont="1" applyFill="1" applyAlignment="1">
      <alignment horizontal="left" vertical="center" wrapText="1"/>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0" borderId="16"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6" fillId="3" borderId="16" xfId="2" applyFont="1" applyFill="1" applyBorder="1" applyAlignment="1">
      <alignment horizontal="center"/>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18"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7" fillId="0" borderId="0" xfId="2" applyFont="1" applyFill="1" applyAlignment="1">
      <alignment horizontal="center"/>
    </xf>
    <xf numFmtId="0" fontId="6" fillId="0" borderId="26" xfId="2" applyFont="1" applyFill="1" applyBorder="1" applyAlignment="1">
      <alignment horizontal="center"/>
    </xf>
    <xf numFmtId="0" fontId="6" fillId="0" borderId="28" xfId="2" applyFont="1" applyFill="1" applyBorder="1" applyAlignment="1">
      <alignment horizontal="center"/>
    </xf>
    <xf numFmtId="0" fontId="6" fillId="0" borderId="27" xfId="2" applyFont="1" applyFill="1" applyBorder="1" applyAlignment="1">
      <alignment horizontal="center"/>
    </xf>
    <xf numFmtId="0" fontId="6" fillId="0" borderId="29" xfId="2" applyFont="1" applyFill="1" applyBorder="1" applyAlignment="1">
      <alignment horizontal="center"/>
    </xf>
    <xf numFmtId="0" fontId="3" fillId="0" borderId="10" xfId="0" applyFont="1" applyBorder="1" applyAlignment="1">
      <alignment horizontal="center"/>
    </xf>
    <xf numFmtId="0" fontId="3" fillId="0" borderId="39" xfId="0" applyFont="1" applyBorder="1" applyAlignment="1">
      <alignment horizontal="center"/>
    </xf>
    <xf numFmtId="0" fontId="18" fillId="0" borderId="16" xfId="0" applyFont="1" applyFill="1" applyBorder="1" applyAlignment="1">
      <alignment horizontal="center"/>
    </xf>
    <xf numFmtId="0" fontId="4" fillId="6" borderId="16" xfId="2" applyFont="1" applyFill="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33" xfId="2" applyFont="1" applyFill="1" applyBorder="1" applyAlignment="1">
      <alignment horizontal="center" wrapText="1"/>
    </xf>
    <xf numFmtId="0" fontId="6" fillId="10" borderId="34"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3" xfId="2" applyFont="1" applyBorder="1" applyAlignment="1">
      <alignment horizontal="center" wrapText="1"/>
    </xf>
    <xf numFmtId="0" fontId="6" fillId="0" borderId="36" xfId="2" applyFont="1" applyBorder="1" applyAlignment="1">
      <alignment horizontal="center" wrapText="1"/>
    </xf>
    <xf numFmtId="0" fontId="6" fillId="0" borderId="34"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xf numFmtId="49" fontId="15" fillId="0" borderId="0" xfId="0" applyNumberFormat="1" applyFon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49" fontId="4" fillId="0" borderId="0" xfId="0" applyNumberFormat="1" applyFont="1" applyFill="1" applyAlignment="1" applyProtection="1">
      <alignment horizontal="left" vertical="top" wrapText="1"/>
      <protection locked="0"/>
    </xf>
    <xf numFmtId="0" fontId="15" fillId="0" borderId="0" xfId="0" applyFont="1" applyAlignment="1">
      <alignment horizontal="left" vertical="top" wrapText="1"/>
    </xf>
    <xf numFmtId="0" fontId="15" fillId="0" borderId="16" xfId="0" applyFont="1" applyFill="1" applyBorder="1" applyAlignment="1" applyProtection="1">
      <alignment horizontal="right"/>
      <protection locked="0"/>
    </xf>
    <xf numFmtId="0" fontId="4" fillId="0" borderId="16" xfId="3" applyFont="1" applyFill="1" applyBorder="1" applyAlignment="1" applyProtection="1">
      <alignment horizontal="right"/>
      <protection locked="0"/>
    </xf>
  </cellXfs>
  <cellStyles count="4">
    <cellStyle name="Comma" xfId="1" builtinId="3"/>
    <cellStyle name="Hyperlink" xfId="3" builtinId="8"/>
    <cellStyle name="Normal" xfId="0" builtinId="0"/>
    <cellStyle name="Normal 2" xfId="2" xr:uid="{00000000-0005-0000-0000-000003000000}"/>
  </cellStyles>
  <dxfs count="7">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3</xdr:col>
          <xdr:colOff>3933825</xdr:colOff>
          <xdr:row>16</xdr:row>
          <xdr:rowOff>161925</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74</xdr:row>
      <xdr:rowOff>56030</xdr:rowOff>
    </xdr:from>
    <xdr:to>
      <xdr:col>21</xdr:col>
      <xdr:colOff>5740444</xdr:colOff>
      <xdr:row>77</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xdr:colOff>
      <xdr:row>0</xdr:row>
      <xdr:rowOff>28575</xdr:rowOff>
    </xdr:from>
    <xdr:to>
      <xdr:col>5</xdr:col>
      <xdr:colOff>0</xdr:colOff>
      <xdr:row>1</xdr:row>
      <xdr:rowOff>342900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228850" y="28575"/>
          <a:ext cx="3714750" cy="57150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DQI represents a worst case scenario, as DQI would</a:t>
          </a:r>
          <a:r>
            <a:rPr lang="en-US" sz="1100" baseline="0"/>
            <a:t> change for each parameter scenario</a:t>
          </a: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17</xdr:row>
      <xdr:rowOff>114300</xdr:rowOff>
    </xdr:from>
    <xdr:to>
      <xdr:col>3</xdr:col>
      <xdr:colOff>116948</xdr:colOff>
      <xdr:row>21</xdr:row>
      <xdr:rowOff>137887</xdr:rowOff>
    </xdr:to>
    <xdr:grpSp>
      <xdr:nvGrpSpPr>
        <xdr:cNvPr id="20" name="Legend">
          <a:extLst>
            <a:ext uri="{FF2B5EF4-FFF2-40B4-BE49-F238E27FC236}">
              <a16:creationId xmlns:a16="http://schemas.microsoft.com/office/drawing/2014/main" id="{00000000-0008-0000-0800-000014000000}"/>
            </a:ext>
          </a:extLst>
        </xdr:cNvPr>
        <xdr:cNvGrpSpPr/>
      </xdr:nvGrpSpPr>
      <xdr:grpSpPr>
        <a:xfrm>
          <a:off x="0" y="3352800"/>
          <a:ext cx="1950511" cy="785587"/>
          <a:chOff x="7457181" y="3134295"/>
          <a:chExt cx="1953912" cy="753022"/>
        </a:xfrm>
      </xdr:grpSpPr>
      <xdr:sp macro="" textlink="">
        <xdr:nvSpPr>
          <xdr:cNvPr id="21" name="LegendBox">
            <a:extLst>
              <a:ext uri="{FF2B5EF4-FFF2-40B4-BE49-F238E27FC236}">
                <a16:creationId xmlns:a16="http://schemas.microsoft.com/office/drawing/2014/main" id="{00000000-0008-0000-0800-000015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22" name="Upstream Emssion Data">
            <a:extLst>
              <a:ext uri="{FF2B5EF4-FFF2-40B4-BE49-F238E27FC236}">
                <a16:creationId xmlns:a16="http://schemas.microsoft.com/office/drawing/2014/main" id="{00000000-0008-0000-0800-000016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23" name="TextBox 22">
            <a:extLst>
              <a:ext uri="{FF2B5EF4-FFF2-40B4-BE49-F238E27FC236}">
                <a16:creationId xmlns:a16="http://schemas.microsoft.com/office/drawing/2014/main" id="{00000000-0008-0000-0800-000017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24" name="TextBox 23">
            <a:extLst>
              <a:ext uri="{FF2B5EF4-FFF2-40B4-BE49-F238E27FC236}">
                <a16:creationId xmlns:a16="http://schemas.microsoft.com/office/drawing/2014/main" id="{00000000-0008-0000-0800-000018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25" name="TextBox 24">
            <a:extLst>
              <a:ext uri="{FF2B5EF4-FFF2-40B4-BE49-F238E27FC236}">
                <a16:creationId xmlns:a16="http://schemas.microsoft.com/office/drawing/2014/main" id="{00000000-0008-0000-0800-000019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28" name="Reference Flow">
          <a:extLst>
            <a:ext uri="{FF2B5EF4-FFF2-40B4-BE49-F238E27FC236}">
              <a16:creationId xmlns:a16="http://schemas.microsoft.com/office/drawing/2014/main" id="{00000000-0008-0000-0800-00001C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[reference flow]</a:t>
          </a:r>
          <a:endParaRPr lang="en-US" sz="800" baseline="0">
            <a:solidFill>
              <a:schemeClr val="tx1"/>
            </a:solidFill>
            <a:latin typeface="Arial" pitchFamily="34" charset="0"/>
            <a:cs typeface="Arial" pitchFamily="34" charset="0"/>
          </a:endParaRPr>
        </a:p>
      </xdr:txBody>
    </xdr:sp>
    <xdr:clientData/>
  </xdr:twoCellAnchor>
  <xdr:twoCellAnchor>
    <xdr:from>
      <xdr:col>12</xdr:col>
      <xdr:colOff>304800</xdr:colOff>
      <xdr:row>4</xdr:row>
      <xdr:rowOff>11176</xdr:rowOff>
    </xdr:from>
    <xdr:to>
      <xdr:col>15</xdr:col>
      <xdr:colOff>0</xdr:colOff>
      <xdr:row>7</xdr:row>
      <xdr:rowOff>11176</xdr:rowOff>
    </xdr:to>
    <xdr:sp macro="" textlink="">
      <xdr:nvSpPr>
        <xdr:cNvPr id="30" name="Reference Flow 1">
          <a:extLst>
            <a:ext uri="{FF2B5EF4-FFF2-40B4-BE49-F238E27FC236}">
              <a16:creationId xmlns:a16="http://schemas.microsoft.com/office/drawing/2014/main" id="{00000000-0008-0000-0800-00001E000000}"/>
            </a:ext>
          </a:extLst>
        </xdr:cNvPr>
        <xdr:cNvSpPr/>
      </xdr:nvSpPr>
      <xdr:spPr>
        <a:xfrm>
          <a:off x="7620000" y="773176"/>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Water [flowback]</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5</xdr:row>
      <xdr:rowOff>56388</xdr:rowOff>
    </xdr:from>
    <xdr:to>
      <xdr:col>12</xdr:col>
      <xdr:colOff>304800</xdr:colOff>
      <xdr:row>5</xdr:row>
      <xdr:rowOff>106426</xdr:rowOff>
    </xdr:to>
    <xdr:cxnSp macro="">
      <xdr:nvCxnSpPr>
        <xdr:cNvPr id="31" name="Connector Ref 1">
          <a:extLst>
            <a:ext uri="{FF2B5EF4-FFF2-40B4-BE49-F238E27FC236}">
              <a16:creationId xmlns:a16="http://schemas.microsoft.com/office/drawing/2014/main" id="{00000000-0008-0000-0800-00001F000000}"/>
            </a:ext>
          </a:extLst>
        </xdr:cNvPr>
        <xdr:cNvCxnSpPr>
          <a:stCxn id="29" idx="3"/>
          <a:endCxn id="30" idx="1"/>
        </xdr:cNvCxnSpPr>
      </xdr:nvCxnSpPr>
      <xdr:spPr>
        <a:xfrm>
          <a:off x="7251700" y="1008888"/>
          <a:ext cx="368300" cy="5003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254000</xdr:colOff>
      <xdr:row>11</xdr:row>
      <xdr:rowOff>85852</xdr:rowOff>
    </xdr:from>
    <xdr:to>
      <xdr:col>17</xdr:col>
      <xdr:colOff>558800</xdr:colOff>
      <xdr:row>14</xdr:row>
      <xdr:rowOff>85852</xdr:rowOff>
    </xdr:to>
    <xdr:sp macro="" textlink="">
      <xdr:nvSpPr>
        <xdr:cNvPr id="33" name="Reference Flow 2">
          <a:extLst>
            <a:ext uri="{FF2B5EF4-FFF2-40B4-BE49-F238E27FC236}">
              <a16:creationId xmlns:a16="http://schemas.microsoft.com/office/drawing/2014/main" id="{00000000-0008-0000-0800-000021000000}"/>
            </a:ext>
          </a:extLst>
        </xdr:cNvPr>
        <xdr:cNvSpPr/>
      </xdr:nvSpPr>
      <xdr:spPr>
        <a:xfrm>
          <a:off x="9398000" y="2181352"/>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Water [produced]</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12</xdr:row>
      <xdr:rowOff>131064</xdr:rowOff>
    </xdr:from>
    <xdr:to>
      <xdr:col>15</xdr:col>
      <xdr:colOff>254000</xdr:colOff>
      <xdr:row>12</xdr:row>
      <xdr:rowOff>181102</xdr:rowOff>
    </xdr:to>
    <xdr:cxnSp macro="">
      <xdr:nvCxnSpPr>
        <xdr:cNvPr id="34" name="Connector Ref 2">
          <a:extLst>
            <a:ext uri="{FF2B5EF4-FFF2-40B4-BE49-F238E27FC236}">
              <a16:creationId xmlns:a16="http://schemas.microsoft.com/office/drawing/2014/main" id="{00000000-0008-0000-0800-000022000000}"/>
            </a:ext>
          </a:extLst>
        </xdr:cNvPr>
        <xdr:cNvCxnSpPr>
          <a:stCxn id="32" idx="3"/>
          <a:endCxn id="33" idx="1"/>
        </xdr:cNvCxnSpPr>
      </xdr:nvCxnSpPr>
      <xdr:spPr>
        <a:xfrm>
          <a:off x="7251700" y="2417064"/>
          <a:ext cx="2146300" cy="5003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xdr:row>
      <xdr:rowOff>5588</xdr:rowOff>
    </xdr:from>
    <xdr:to>
      <xdr:col>2</xdr:col>
      <xdr:colOff>358924</xdr:colOff>
      <xdr:row>5</xdr:row>
      <xdr:rowOff>131226</xdr:rowOff>
    </xdr:to>
    <xdr:sp macro="" textlink="">
      <xdr:nvSpPr>
        <xdr:cNvPr id="36" name="Upstream Emssion Data 1">
          <a:extLst>
            <a:ext uri="{FF2B5EF4-FFF2-40B4-BE49-F238E27FC236}">
              <a16:creationId xmlns:a16="http://schemas.microsoft.com/office/drawing/2014/main" id="{00000000-0008-0000-0800-000024000000}"/>
            </a:ext>
          </a:extLst>
        </xdr:cNvPr>
        <xdr:cNvSpPr/>
      </xdr:nvSpPr>
      <xdr:spPr>
        <a:xfrm>
          <a:off x="0" y="386588"/>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Water (recycled water) [Water]</a:t>
          </a:r>
        </a:p>
      </xdr:txBody>
    </xdr:sp>
    <xdr:clientData/>
  </xdr:twoCellAnchor>
  <xdr:twoCellAnchor>
    <xdr:from>
      <xdr:col>2</xdr:col>
      <xdr:colOff>178501</xdr:colOff>
      <xdr:row>3</xdr:row>
      <xdr:rowOff>85344</xdr:rowOff>
    </xdr:from>
    <xdr:to>
      <xdr:col>5</xdr:col>
      <xdr:colOff>508000</xdr:colOff>
      <xdr:row>3</xdr:row>
      <xdr:rowOff>163657</xdr:rowOff>
    </xdr:to>
    <xdr:cxnSp macro="">
      <xdr:nvCxnSpPr>
        <xdr:cNvPr id="37" name="Straight Arrow Connector 1">
          <a:extLst>
            <a:ext uri="{FF2B5EF4-FFF2-40B4-BE49-F238E27FC236}">
              <a16:creationId xmlns:a16="http://schemas.microsoft.com/office/drawing/2014/main" id="{00000000-0008-0000-0800-000025000000}"/>
            </a:ext>
          </a:extLst>
        </xdr:cNvPr>
        <xdr:cNvCxnSpPr>
          <a:stCxn id="36" idx="2"/>
          <a:endCxn id="35" idx="1"/>
        </xdr:cNvCxnSpPr>
      </xdr:nvCxnSpPr>
      <xdr:spPr>
        <a:xfrm flipV="1">
          <a:off x="1397701" y="656844"/>
          <a:ext cx="2158299" cy="7831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558800</xdr:colOff>
      <xdr:row>5</xdr:row>
      <xdr:rowOff>138176</xdr:rowOff>
    </xdr:from>
    <xdr:to>
      <xdr:col>5</xdr:col>
      <xdr:colOff>308124</xdr:colOff>
      <xdr:row>9</xdr:row>
      <xdr:rowOff>73314</xdr:rowOff>
    </xdr:to>
    <xdr:sp macro="" textlink="">
      <xdr:nvSpPr>
        <xdr:cNvPr id="39" name="Upstream Emssion Data 2">
          <a:extLst>
            <a:ext uri="{FF2B5EF4-FFF2-40B4-BE49-F238E27FC236}">
              <a16:creationId xmlns:a16="http://schemas.microsoft.com/office/drawing/2014/main" id="{00000000-0008-0000-0800-000027000000}"/>
            </a:ext>
          </a:extLst>
        </xdr:cNvPr>
        <xdr:cNvSpPr/>
      </xdr:nvSpPr>
      <xdr:spPr>
        <a:xfrm>
          <a:off x="1778000" y="1090676"/>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Water (surface water) [Water]</a:t>
          </a:r>
        </a:p>
      </xdr:txBody>
    </xdr:sp>
    <xdr:clientData/>
  </xdr:twoCellAnchor>
  <xdr:twoCellAnchor>
    <xdr:from>
      <xdr:col>5</xdr:col>
      <xdr:colOff>127701</xdr:colOff>
      <xdr:row>7</xdr:row>
      <xdr:rowOff>27432</xdr:rowOff>
    </xdr:from>
    <xdr:to>
      <xdr:col>5</xdr:col>
      <xdr:colOff>508000</xdr:colOff>
      <xdr:row>7</xdr:row>
      <xdr:rowOff>105745</xdr:rowOff>
    </xdr:to>
    <xdr:cxnSp macro="">
      <xdr:nvCxnSpPr>
        <xdr:cNvPr id="40" name="Straight Arrow Connector 2">
          <a:extLst>
            <a:ext uri="{FF2B5EF4-FFF2-40B4-BE49-F238E27FC236}">
              <a16:creationId xmlns:a16="http://schemas.microsoft.com/office/drawing/2014/main" id="{00000000-0008-0000-0800-000028000000}"/>
            </a:ext>
          </a:extLst>
        </xdr:cNvPr>
        <xdr:cNvCxnSpPr>
          <a:stCxn id="39" idx="2"/>
          <a:endCxn id="38" idx="1"/>
        </xdr:cNvCxnSpPr>
      </xdr:nvCxnSpPr>
      <xdr:spPr>
        <a:xfrm flipV="1">
          <a:off x="3175701" y="1360932"/>
          <a:ext cx="380299" cy="7831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9</xdr:row>
      <xdr:rowOff>80264</xdr:rowOff>
    </xdr:from>
    <xdr:to>
      <xdr:col>2</xdr:col>
      <xdr:colOff>358924</xdr:colOff>
      <xdr:row>13</xdr:row>
      <xdr:rowOff>15402</xdr:rowOff>
    </xdr:to>
    <xdr:sp macro="" textlink="">
      <xdr:nvSpPr>
        <xdr:cNvPr id="42" name="Upstream Emssion Data 3">
          <a:extLst>
            <a:ext uri="{FF2B5EF4-FFF2-40B4-BE49-F238E27FC236}">
              <a16:creationId xmlns:a16="http://schemas.microsoft.com/office/drawing/2014/main" id="{00000000-0008-0000-0800-00002A000000}"/>
            </a:ext>
          </a:extLst>
        </xdr:cNvPr>
        <xdr:cNvSpPr/>
      </xdr:nvSpPr>
      <xdr:spPr>
        <a:xfrm>
          <a:off x="0" y="1794764"/>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Water (ground water) [Water]</a:t>
          </a:r>
        </a:p>
      </xdr:txBody>
    </xdr:sp>
    <xdr:clientData/>
  </xdr:twoCellAnchor>
  <xdr:twoCellAnchor>
    <xdr:from>
      <xdr:col>2</xdr:col>
      <xdr:colOff>178501</xdr:colOff>
      <xdr:row>10</xdr:row>
      <xdr:rowOff>160020</xdr:rowOff>
    </xdr:from>
    <xdr:to>
      <xdr:col>5</xdr:col>
      <xdr:colOff>508000</xdr:colOff>
      <xdr:row>11</xdr:row>
      <xdr:rowOff>47833</xdr:rowOff>
    </xdr:to>
    <xdr:cxnSp macro="">
      <xdr:nvCxnSpPr>
        <xdr:cNvPr id="43" name="Straight Arrow Connector 3">
          <a:extLst>
            <a:ext uri="{FF2B5EF4-FFF2-40B4-BE49-F238E27FC236}">
              <a16:creationId xmlns:a16="http://schemas.microsoft.com/office/drawing/2014/main" id="{00000000-0008-0000-0800-00002B000000}"/>
            </a:ext>
          </a:extLst>
        </xdr:cNvPr>
        <xdr:cNvCxnSpPr>
          <a:stCxn id="42" idx="2"/>
          <a:endCxn id="41" idx="1"/>
        </xdr:cNvCxnSpPr>
      </xdr:nvCxnSpPr>
      <xdr:spPr>
        <a:xfrm flipV="1">
          <a:off x="1397701" y="2065020"/>
          <a:ext cx="2158299" cy="7831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47" name="Boundary Group">
          <a:extLst>
            <a:ext uri="{FF2B5EF4-FFF2-40B4-BE49-F238E27FC236}">
              <a16:creationId xmlns:a16="http://schemas.microsoft.com/office/drawing/2014/main" id="{00000000-0008-0000-0800-00002F000000}"/>
            </a:ext>
          </a:extLst>
        </xdr:cNvPr>
        <xdr:cNvGrpSpPr/>
      </xdr:nvGrpSpPr>
      <xdr:grpSpPr>
        <a:xfrm>
          <a:off x="3563938" y="304800"/>
          <a:ext cx="3705225" cy="2940708"/>
          <a:chOff x="3556000" y="304800"/>
          <a:chExt cx="3695700" cy="2940708"/>
        </a:xfrm>
      </xdr:grpSpPr>
      <xdr:sp macro="" textlink="">
        <xdr:nvSpPr>
          <xdr:cNvPr id="26" name="Boundary Box">
            <a:extLst>
              <a:ext uri="{FF2B5EF4-FFF2-40B4-BE49-F238E27FC236}">
                <a16:creationId xmlns:a16="http://schemas.microsoft.com/office/drawing/2014/main" id="{00000000-0008-0000-0800-00001A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Tight Well Production Water Burden: System Boundary</a:t>
            </a:r>
          </a:p>
        </xdr:txBody>
      </xdr:sp>
      <xdr:sp macro="" textlink="">
        <xdr:nvSpPr>
          <xdr:cNvPr id="27" name="Process">
            <a:extLst>
              <a:ext uri="{FF2B5EF4-FFF2-40B4-BE49-F238E27FC236}">
                <a16:creationId xmlns:a16="http://schemas.microsoft.com/office/drawing/2014/main" id="{00000000-0008-0000-0800-00001B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This unit process covers the water input and output associated with the stimulation process of producing a tight-formation natural gas well, as well as releases to the environment. </a:t>
            </a:r>
          </a:p>
        </xdr:txBody>
      </xdr:sp>
      <xdr:sp macro="" textlink="">
        <xdr:nvSpPr>
          <xdr:cNvPr id="29" name="LinkRef 1">
            <a:extLst>
              <a:ext uri="{FF2B5EF4-FFF2-40B4-BE49-F238E27FC236}">
                <a16:creationId xmlns:a16="http://schemas.microsoft.com/office/drawing/2014/main" id="{00000000-0008-0000-0800-00001D000000}"/>
              </a:ext>
            </a:extLst>
          </xdr:cNvPr>
          <xdr:cNvSpPr/>
        </xdr:nvSpPr>
        <xdr:spPr>
          <a:xfrm>
            <a:off x="7239000" y="304800"/>
            <a:ext cx="12700" cy="140817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2" name="LinkRef 2">
            <a:extLst>
              <a:ext uri="{FF2B5EF4-FFF2-40B4-BE49-F238E27FC236}">
                <a16:creationId xmlns:a16="http://schemas.microsoft.com/office/drawing/2014/main" id="{00000000-0008-0000-0800-000020000000}"/>
              </a:ext>
            </a:extLst>
          </xdr:cNvPr>
          <xdr:cNvSpPr/>
        </xdr:nvSpPr>
        <xdr:spPr>
          <a:xfrm>
            <a:off x="7239000" y="1712976"/>
            <a:ext cx="12700" cy="140817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5" name="Link 1">
            <a:extLst>
              <a:ext uri="{FF2B5EF4-FFF2-40B4-BE49-F238E27FC236}">
                <a16:creationId xmlns:a16="http://schemas.microsoft.com/office/drawing/2014/main" id="{00000000-0008-0000-0800-000023000000}"/>
              </a:ext>
            </a:extLst>
          </xdr:cNvPr>
          <xdr:cNvSpPr/>
        </xdr:nvSpPr>
        <xdr:spPr>
          <a:xfrm>
            <a:off x="3556000" y="304800"/>
            <a:ext cx="12700" cy="70408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8" name="Link 2">
            <a:extLst>
              <a:ext uri="{FF2B5EF4-FFF2-40B4-BE49-F238E27FC236}">
                <a16:creationId xmlns:a16="http://schemas.microsoft.com/office/drawing/2014/main" id="{00000000-0008-0000-0800-000026000000}"/>
              </a:ext>
            </a:extLst>
          </xdr:cNvPr>
          <xdr:cNvSpPr/>
        </xdr:nvSpPr>
        <xdr:spPr>
          <a:xfrm>
            <a:off x="3556000" y="1008888"/>
            <a:ext cx="12700" cy="70408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1" name="Link 3">
            <a:extLst>
              <a:ext uri="{FF2B5EF4-FFF2-40B4-BE49-F238E27FC236}">
                <a16:creationId xmlns:a16="http://schemas.microsoft.com/office/drawing/2014/main" id="{00000000-0008-0000-0800-000029000000}"/>
              </a:ext>
            </a:extLst>
          </xdr:cNvPr>
          <xdr:cNvSpPr/>
        </xdr:nvSpPr>
        <xdr:spPr>
          <a:xfrm>
            <a:off x="3556000" y="1712976"/>
            <a:ext cx="12700" cy="70408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4" name="Link 4">
            <a:extLst>
              <a:ext uri="{FF2B5EF4-FFF2-40B4-BE49-F238E27FC236}">
                <a16:creationId xmlns:a16="http://schemas.microsoft.com/office/drawing/2014/main" id="{00000000-0008-0000-0800-00002C000000}"/>
              </a:ext>
            </a:extLst>
          </xdr:cNvPr>
          <xdr:cNvSpPr/>
        </xdr:nvSpPr>
        <xdr:spPr>
          <a:xfrm>
            <a:off x="3556000" y="2417064"/>
            <a:ext cx="12700" cy="70408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xdr:col>
      <xdr:colOff>558800</xdr:colOff>
      <xdr:row>13</xdr:row>
      <xdr:rowOff>22352</xdr:rowOff>
    </xdr:from>
    <xdr:to>
      <xdr:col>5</xdr:col>
      <xdr:colOff>308124</xdr:colOff>
      <xdr:row>16</xdr:row>
      <xdr:rowOff>147990</xdr:rowOff>
    </xdr:to>
    <xdr:sp macro="" textlink="">
      <xdr:nvSpPr>
        <xdr:cNvPr id="45" name="Upstream Emssion Data 4">
          <a:extLst>
            <a:ext uri="{FF2B5EF4-FFF2-40B4-BE49-F238E27FC236}">
              <a16:creationId xmlns:a16="http://schemas.microsoft.com/office/drawing/2014/main" id="{00000000-0008-0000-0800-00002D000000}"/>
            </a:ext>
          </a:extLst>
        </xdr:cNvPr>
        <xdr:cNvSpPr/>
      </xdr:nvSpPr>
      <xdr:spPr>
        <a:xfrm>
          <a:off x="1778000" y="2498852"/>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Water (brackish water) [Water]</a:t>
          </a:r>
        </a:p>
      </xdr:txBody>
    </xdr:sp>
    <xdr:clientData/>
  </xdr:twoCellAnchor>
  <xdr:twoCellAnchor>
    <xdr:from>
      <xdr:col>5</xdr:col>
      <xdr:colOff>127701</xdr:colOff>
      <xdr:row>14</xdr:row>
      <xdr:rowOff>102108</xdr:rowOff>
    </xdr:from>
    <xdr:to>
      <xdr:col>5</xdr:col>
      <xdr:colOff>508000</xdr:colOff>
      <xdr:row>14</xdr:row>
      <xdr:rowOff>180421</xdr:rowOff>
    </xdr:to>
    <xdr:cxnSp macro="">
      <xdr:nvCxnSpPr>
        <xdr:cNvPr id="46" name="Straight Arrow Connector 4">
          <a:extLst>
            <a:ext uri="{FF2B5EF4-FFF2-40B4-BE49-F238E27FC236}">
              <a16:creationId xmlns:a16="http://schemas.microsoft.com/office/drawing/2014/main" id="{00000000-0008-0000-0800-00002E000000}"/>
            </a:ext>
          </a:extLst>
        </xdr:cNvPr>
        <xdr:cNvCxnSpPr>
          <a:stCxn id="45" idx="2"/>
          <a:endCxn id="44" idx="1"/>
        </xdr:cNvCxnSpPr>
      </xdr:nvCxnSpPr>
      <xdr:spPr>
        <a:xfrm flipV="1">
          <a:off x="3175701" y="2769108"/>
          <a:ext cx="380299" cy="7831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589262</xdr:colOff>
      <xdr:row>14</xdr:row>
      <xdr:rowOff>81094</xdr:rowOff>
    </xdr:from>
    <xdr:to>
      <xdr:col>8</xdr:col>
      <xdr:colOff>607833</xdr:colOff>
      <xdr:row>17</xdr:row>
      <xdr:rowOff>114300</xdr:rowOff>
    </xdr:to>
    <xdr:cxnSp macro="">
      <xdr:nvCxnSpPr>
        <xdr:cNvPr id="48" name="Straight Arrow Connector Process">
          <a:extLst>
            <a:ext uri="{FF2B5EF4-FFF2-40B4-BE49-F238E27FC236}">
              <a16:creationId xmlns:a16="http://schemas.microsoft.com/office/drawing/2014/main" id="{00000000-0008-0000-0800-000030000000}"/>
            </a:ext>
          </a:extLst>
        </xdr:cNvPr>
        <xdr:cNvCxnSpPr>
          <a:stCxn id="27" idx="2"/>
          <a:endCxn id="28" idx="0"/>
        </xdr:cNvCxnSpPr>
      </xdr:nvCxnSpPr>
      <xdr:spPr>
        <a:xfrm flipH="1">
          <a:off x="5466062" y="2748094"/>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A505"/>
  <sheetViews>
    <sheetView zoomScaleNormal="100" workbookViewId="0">
      <selection activeCell="T5" sqref="T5"/>
    </sheetView>
  </sheetViews>
  <sheetFormatPr defaultColWidth="9.140625" defaultRowHeight="12.75" x14ac:dyDescent="0.2"/>
  <cols>
    <col min="1" max="1" width="2" style="2" customWidth="1"/>
    <col min="2" max="2" width="9.140625" style="3"/>
    <col min="3" max="3" width="32.710937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84" t="s">
        <v>0</v>
      </c>
      <c r="B1" s="284"/>
      <c r="C1" s="284"/>
      <c r="D1" s="284"/>
      <c r="E1" s="284"/>
      <c r="F1" s="284"/>
      <c r="G1" s="284"/>
      <c r="H1" s="284"/>
      <c r="I1" s="284"/>
      <c r="J1" s="284"/>
      <c r="K1" s="284"/>
      <c r="L1" s="284"/>
      <c r="M1" s="284"/>
      <c r="N1" s="284"/>
      <c r="O1" s="1"/>
    </row>
    <row r="2" spans="1:27" ht="21" thickBot="1" x14ac:dyDescent="0.35">
      <c r="A2" s="284" t="s">
        <v>1</v>
      </c>
      <c r="B2" s="284"/>
      <c r="C2" s="284"/>
      <c r="D2" s="284"/>
      <c r="E2" s="284"/>
      <c r="F2" s="284"/>
      <c r="G2" s="284"/>
      <c r="H2" s="284"/>
      <c r="I2" s="284"/>
      <c r="J2" s="284"/>
      <c r="K2" s="284"/>
      <c r="L2" s="284"/>
      <c r="M2" s="284"/>
      <c r="N2" s="284"/>
      <c r="O2" s="1"/>
    </row>
    <row r="3" spans="1:27" ht="12.75" customHeight="1" thickBot="1" x14ac:dyDescent="0.25">
      <c r="B3" s="2"/>
      <c r="C3" s="4" t="s">
        <v>2</v>
      </c>
      <c r="D3" s="5" t="str">
        <f>'Data Summary'!D4</f>
        <v>Tight Well Production Water Burden</v>
      </c>
      <c r="E3" s="6"/>
      <c r="F3" s="6"/>
      <c r="G3" s="6"/>
      <c r="H3" s="6"/>
      <c r="I3" s="6"/>
      <c r="J3" s="6"/>
      <c r="K3" s="6"/>
      <c r="L3" s="6"/>
      <c r="M3" s="7"/>
      <c r="N3" s="2"/>
      <c r="O3" s="2"/>
    </row>
    <row r="4" spans="1:27" ht="42.75" customHeight="1" thickBot="1" x14ac:dyDescent="0.25">
      <c r="B4" s="2"/>
      <c r="C4" s="4" t="s">
        <v>3</v>
      </c>
      <c r="D4" s="285" t="str">
        <f>'Data Summary'!D6</f>
        <v xml:space="preserve">This unit process covers the water input and output associated with the stimulation process of producing a tight-formation natural gas well, as well as releases to the environment. </v>
      </c>
      <c r="E4" s="286"/>
      <c r="F4" s="286"/>
      <c r="G4" s="286"/>
      <c r="H4" s="286"/>
      <c r="I4" s="286"/>
      <c r="J4" s="286"/>
      <c r="K4" s="286"/>
      <c r="L4" s="286"/>
      <c r="M4" s="287"/>
      <c r="N4" s="2"/>
      <c r="O4" s="2"/>
    </row>
    <row r="5" spans="1:27" ht="39" customHeight="1" thickBot="1" x14ac:dyDescent="0.25">
      <c r="B5" s="2"/>
      <c r="C5" s="4" t="s">
        <v>4</v>
      </c>
      <c r="D5" s="288" t="s">
        <v>888</v>
      </c>
      <c r="E5" s="289"/>
      <c r="F5" s="289"/>
      <c r="G5" s="289"/>
      <c r="H5" s="289"/>
      <c r="I5" s="289"/>
      <c r="J5" s="289"/>
      <c r="K5" s="289"/>
      <c r="L5" s="289"/>
      <c r="M5" s="290"/>
      <c r="N5" s="2"/>
      <c r="O5" s="2"/>
    </row>
    <row r="6" spans="1:27" ht="56.25" customHeight="1" thickBot="1" x14ac:dyDescent="0.25">
      <c r="B6" s="2"/>
      <c r="C6" s="8" t="s">
        <v>5</v>
      </c>
      <c r="D6" s="288" t="s">
        <v>6</v>
      </c>
      <c r="E6" s="289"/>
      <c r="F6" s="289"/>
      <c r="G6" s="289"/>
      <c r="H6" s="289"/>
      <c r="I6" s="289"/>
      <c r="J6" s="289"/>
      <c r="K6" s="289"/>
      <c r="L6" s="289"/>
      <c r="M6" s="290"/>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293" t="s">
        <v>10</v>
      </c>
      <c r="C9" s="10" t="s">
        <v>11</v>
      </c>
      <c r="D9" s="295" t="s">
        <v>12</v>
      </c>
      <c r="E9" s="295"/>
      <c r="F9" s="295"/>
      <c r="G9" s="295"/>
      <c r="H9" s="295"/>
      <c r="I9" s="295"/>
      <c r="J9" s="295"/>
      <c r="K9" s="295"/>
      <c r="L9" s="295"/>
      <c r="M9" s="296"/>
      <c r="N9" s="2"/>
      <c r="O9" s="2"/>
      <c r="P9" s="2"/>
      <c r="Q9" s="2"/>
      <c r="R9" s="2"/>
      <c r="S9" s="2"/>
      <c r="T9" s="2"/>
      <c r="U9" s="2"/>
      <c r="V9" s="2"/>
      <c r="W9" s="2"/>
      <c r="X9" s="2"/>
      <c r="Y9" s="2"/>
      <c r="Z9" s="2"/>
      <c r="AA9" s="2"/>
    </row>
    <row r="10" spans="1:27" s="11" customFormat="1" ht="15" customHeight="1" x14ac:dyDescent="0.2">
      <c r="A10" s="2"/>
      <c r="B10" s="294"/>
      <c r="C10" s="12" t="s">
        <v>13</v>
      </c>
      <c r="D10" s="297" t="s">
        <v>14</v>
      </c>
      <c r="E10" s="297"/>
      <c r="F10" s="297"/>
      <c r="G10" s="297"/>
      <c r="H10" s="297"/>
      <c r="I10" s="297"/>
      <c r="J10" s="297"/>
      <c r="K10" s="297"/>
      <c r="L10" s="297"/>
      <c r="M10" s="298"/>
      <c r="N10" s="2"/>
      <c r="O10" s="2"/>
      <c r="P10" s="2"/>
      <c r="Q10" s="2"/>
      <c r="R10" s="2"/>
      <c r="S10" s="2"/>
      <c r="T10" s="2"/>
      <c r="U10" s="2"/>
      <c r="V10" s="2"/>
      <c r="W10" s="2"/>
      <c r="X10" s="2"/>
      <c r="Y10" s="2"/>
      <c r="Z10" s="2"/>
      <c r="AA10" s="2"/>
    </row>
    <row r="11" spans="1:27" s="11" customFormat="1" ht="15" customHeight="1" x14ac:dyDescent="0.2">
      <c r="A11" s="2"/>
      <c r="B11" s="294"/>
      <c r="C11" s="12" t="s">
        <v>15</v>
      </c>
      <c r="D11" s="297" t="s">
        <v>16</v>
      </c>
      <c r="E11" s="297"/>
      <c r="F11" s="297"/>
      <c r="G11" s="297"/>
      <c r="H11" s="297"/>
      <c r="I11" s="297"/>
      <c r="J11" s="297"/>
      <c r="K11" s="297"/>
      <c r="L11" s="297"/>
      <c r="M11" s="298"/>
      <c r="N11" s="2"/>
      <c r="O11" s="2"/>
      <c r="P11" s="2"/>
      <c r="Q11" s="2"/>
      <c r="R11" s="2"/>
      <c r="S11" s="2"/>
      <c r="T11" s="2"/>
      <c r="U11" s="2"/>
      <c r="V11" s="2"/>
      <c r="W11" s="2"/>
      <c r="X11" s="2"/>
      <c r="Y11" s="2"/>
      <c r="Z11" s="2"/>
      <c r="AA11" s="2"/>
    </row>
    <row r="12" spans="1:27" s="11" customFormat="1" ht="15" customHeight="1" x14ac:dyDescent="0.2">
      <c r="A12" s="2"/>
      <c r="B12" s="294"/>
      <c r="C12" s="12" t="s">
        <v>17</v>
      </c>
      <c r="D12" s="297" t="s">
        <v>18</v>
      </c>
      <c r="E12" s="297"/>
      <c r="F12" s="297"/>
      <c r="G12" s="297"/>
      <c r="H12" s="297"/>
      <c r="I12" s="297"/>
      <c r="J12" s="297"/>
      <c r="K12" s="297"/>
      <c r="L12" s="297"/>
      <c r="M12" s="298"/>
      <c r="N12" s="2"/>
      <c r="O12" s="2"/>
      <c r="P12" s="2"/>
      <c r="Q12" s="2"/>
      <c r="R12" s="2"/>
      <c r="S12" s="2"/>
      <c r="T12" s="2"/>
      <c r="U12" s="2"/>
      <c r="V12" s="2"/>
      <c r="W12" s="2"/>
      <c r="X12" s="2"/>
      <c r="Y12" s="2"/>
      <c r="Z12" s="2"/>
      <c r="AA12" s="2"/>
    </row>
    <row r="13" spans="1:27" ht="19.5" customHeight="1" x14ac:dyDescent="0.2">
      <c r="B13" s="291" t="s">
        <v>19</v>
      </c>
      <c r="C13" s="13" t="s">
        <v>484</v>
      </c>
      <c r="D13" s="280" t="s">
        <v>485</v>
      </c>
      <c r="E13" s="280"/>
      <c r="F13" s="280"/>
      <c r="G13" s="280"/>
      <c r="H13" s="280"/>
      <c r="I13" s="280"/>
      <c r="J13" s="280"/>
      <c r="K13" s="280"/>
      <c r="L13" s="280"/>
      <c r="M13" s="281"/>
      <c r="N13" s="2"/>
      <c r="O13" s="2"/>
    </row>
    <row r="14" spans="1:27" ht="19.5" customHeight="1" x14ac:dyDescent="0.2">
      <c r="B14" s="291"/>
      <c r="C14" s="13" t="s">
        <v>20</v>
      </c>
      <c r="D14" s="280" t="s">
        <v>21</v>
      </c>
      <c r="E14" s="280"/>
      <c r="F14" s="280"/>
      <c r="G14" s="280"/>
      <c r="H14" s="280"/>
      <c r="I14" s="280"/>
      <c r="J14" s="280"/>
      <c r="K14" s="280"/>
      <c r="L14" s="280"/>
      <c r="M14" s="281"/>
      <c r="N14" s="2"/>
      <c r="O14" s="2"/>
    </row>
    <row r="15" spans="1:27" ht="20.25" customHeight="1" x14ac:dyDescent="0.2">
      <c r="B15" s="291"/>
      <c r="C15" s="14" t="s">
        <v>22</v>
      </c>
      <c r="D15" s="280" t="s">
        <v>22</v>
      </c>
      <c r="E15" s="280"/>
      <c r="F15" s="280"/>
      <c r="G15" s="280"/>
      <c r="H15" s="280"/>
      <c r="I15" s="280"/>
      <c r="J15" s="280"/>
      <c r="K15" s="280"/>
      <c r="L15" s="280"/>
      <c r="M15" s="281"/>
      <c r="N15" s="2"/>
      <c r="O15" s="2"/>
    </row>
    <row r="16" spans="1:27" ht="15" customHeight="1" thickBot="1" x14ac:dyDescent="0.25">
      <c r="B16" s="292"/>
      <c r="C16" s="15"/>
      <c r="D16" s="282"/>
      <c r="E16" s="282"/>
      <c r="F16" s="282"/>
      <c r="G16" s="282"/>
      <c r="H16" s="282"/>
      <c r="I16" s="282"/>
      <c r="J16" s="282"/>
      <c r="K16" s="282"/>
      <c r="L16" s="282"/>
      <c r="M16" s="283"/>
      <c r="N16" s="2"/>
      <c r="O16" s="2"/>
    </row>
    <row r="17" spans="2:16" x14ac:dyDescent="0.2">
      <c r="B17" s="9"/>
      <c r="C17" s="9"/>
      <c r="D17" s="9"/>
      <c r="E17" s="9"/>
      <c r="F17" s="9"/>
      <c r="G17" s="9"/>
      <c r="H17" s="9"/>
      <c r="I17" s="9"/>
      <c r="J17" s="9"/>
      <c r="K17" s="9"/>
      <c r="L17" s="9"/>
      <c r="M17" s="9"/>
      <c r="N17" s="2"/>
      <c r="O17" s="2"/>
    </row>
    <row r="18" spans="2:16" x14ac:dyDescent="0.2">
      <c r="B18" s="9" t="s">
        <v>23</v>
      </c>
      <c r="C18" s="9"/>
      <c r="D18" s="9"/>
      <c r="E18" s="9"/>
      <c r="F18" s="9"/>
      <c r="G18" s="9"/>
      <c r="H18" s="9"/>
      <c r="I18" s="9"/>
      <c r="J18" s="9"/>
      <c r="K18" s="9"/>
      <c r="L18" s="9"/>
      <c r="M18" s="9"/>
      <c r="N18" s="2"/>
      <c r="O18" s="2"/>
    </row>
    <row r="19" spans="2:16" x14ac:dyDescent="0.2">
      <c r="B19" s="9"/>
      <c r="C19" s="16">
        <v>43115</v>
      </c>
      <c r="D19" s="9"/>
      <c r="E19" s="9"/>
      <c r="F19" s="9"/>
      <c r="G19" s="9"/>
      <c r="H19" s="9"/>
      <c r="I19" s="9"/>
      <c r="J19" s="9"/>
      <c r="K19" s="9"/>
      <c r="L19" s="9"/>
      <c r="M19" s="9"/>
      <c r="N19" s="2"/>
      <c r="O19" s="2"/>
    </row>
    <row r="20" spans="2:16" x14ac:dyDescent="0.2">
      <c r="B20" s="9" t="s">
        <v>24</v>
      </c>
      <c r="C20" s="9"/>
      <c r="D20" s="9"/>
      <c r="E20" s="9"/>
      <c r="F20" s="9"/>
      <c r="G20" s="9"/>
      <c r="H20" s="9"/>
      <c r="I20" s="9"/>
      <c r="J20" s="9"/>
      <c r="K20" s="9"/>
      <c r="L20" s="9"/>
      <c r="M20" s="9"/>
      <c r="N20" s="2"/>
      <c r="O20" s="2"/>
    </row>
    <row r="21" spans="2:16" x14ac:dyDescent="0.2">
      <c r="B21" s="9"/>
      <c r="C21" s="17" t="s">
        <v>25</v>
      </c>
      <c r="D21" s="9"/>
      <c r="E21" s="9"/>
      <c r="F21" s="9"/>
      <c r="G21" s="9"/>
      <c r="H21" s="9"/>
      <c r="I21" s="9"/>
      <c r="J21" s="9"/>
      <c r="K21" s="9"/>
      <c r="L21" s="9"/>
      <c r="M21" s="9"/>
      <c r="N21" s="2"/>
      <c r="O21" s="2"/>
    </row>
    <row r="22" spans="2:16" x14ac:dyDescent="0.2">
      <c r="B22" s="9" t="s">
        <v>26</v>
      </c>
      <c r="C22" s="17"/>
      <c r="D22" s="9"/>
      <c r="E22" s="9"/>
      <c r="F22" s="9"/>
      <c r="G22" s="9"/>
      <c r="H22" s="9"/>
      <c r="I22" s="9"/>
      <c r="J22" s="9"/>
      <c r="K22" s="9"/>
      <c r="L22" s="9"/>
      <c r="M22" s="9"/>
      <c r="N22" s="2"/>
      <c r="O22" s="2"/>
    </row>
    <row r="23" spans="2:16" x14ac:dyDescent="0.2">
      <c r="B23" s="9"/>
      <c r="C23" s="17" t="s">
        <v>27</v>
      </c>
      <c r="D23" s="9"/>
      <c r="E23" s="9"/>
      <c r="F23" s="9"/>
      <c r="G23" s="9"/>
      <c r="H23" s="9"/>
      <c r="I23" s="9"/>
      <c r="J23" s="9"/>
      <c r="K23" s="9"/>
      <c r="L23" s="9"/>
      <c r="M23" s="9"/>
      <c r="N23" s="2"/>
      <c r="O23" s="2"/>
    </row>
    <row r="24" spans="2:16" x14ac:dyDescent="0.2">
      <c r="B24" s="9" t="s">
        <v>28</v>
      </c>
      <c r="C24" s="9"/>
      <c r="D24" s="9"/>
      <c r="E24" s="9"/>
      <c r="F24" s="9"/>
      <c r="G24" s="9"/>
      <c r="H24" s="9"/>
      <c r="I24" s="9"/>
      <c r="J24" s="9"/>
      <c r="K24" s="9"/>
      <c r="L24" s="9"/>
      <c r="M24" s="9"/>
      <c r="N24" s="2"/>
      <c r="O24" s="2"/>
    </row>
    <row r="25" spans="2:16" ht="38.25" customHeight="1" x14ac:dyDescent="0.2">
      <c r="B25" s="9"/>
      <c r="C25" s="278" t="str">
        <f>"This document should be cited as: NETL (2018). NETL Life Cycle Inventory Data – Unit Process: "&amp;D3&amp;". U.S. Department of Energy, National Energy Technology Laboratory. Last Updated: January 2018 (version 01). www.netl.doe.gov/LCA (http://www.netl.doe.gov/LCA)"</f>
        <v>This document should be cited as: NETL (2018). NETL Life Cycle Inventory Data – Unit Process: Tight Well Production Water Burden. U.S. Department of Energy, National Energy Technology Laboratory. Last Updated: January 2018 (version 01). www.netl.doe.gov/LCA (http://www.netl.doe.gov/LCA)</v>
      </c>
      <c r="D25" s="278"/>
      <c r="E25" s="278"/>
      <c r="F25" s="278"/>
      <c r="G25" s="278"/>
      <c r="H25" s="278"/>
      <c r="I25" s="278"/>
      <c r="J25" s="278"/>
      <c r="K25" s="278"/>
      <c r="L25" s="278"/>
      <c r="M25" s="278"/>
      <c r="N25" s="2"/>
      <c r="O25" s="2"/>
    </row>
    <row r="26" spans="2:16" x14ac:dyDescent="0.2">
      <c r="B26" s="9" t="s">
        <v>29</v>
      </c>
      <c r="C26" s="9"/>
      <c r="D26" s="9"/>
      <c r="E26" s="9"/>
      <c r="F26" s="9"/>
      <c r="G26" s="17"/>
      <c r="H26" s="17"/>
      <c r="I26" s="17"/>
      <c r="J26" s="17"/>
      <c r="K26" s="17"/>
      <c r="L26" s="17"/>
      <c r="M26" s="17"/>
      <c r="N26" s="2"/>
      <c r="O26" s="2"/>
    </row>
    <row r="27" spans="2:16" x14ac:dyDescent="0.2">
      <c r="B27" s="17"/>
      <c r="C27" s="17" t="s">
        <v>30</v>
      </c>
      <c r="D27" s="17"/>
      <c r="E27" s="18" t="s">
        <v>31</v>
      </c>
      <c r="F27" s="19"/>
      <c r="G27" s="17" t="s">
        <v>32</v>
      </c>
      <c r="H27" s="17"/>
      <c r="I27" s="17"/>
      <c r="J27" s="17"/>
      <c r="K27" s="17"/>
      <c r="L27" s="17"/>
      <c r="M27" s="17"/>
      <c r="N27" s="2"/>
      <c r="O27" s="2"/>
      <c r="P27" s="17"/>
    </row>
    <row r="28" spans="2:16" x14ac:dyDescent="0.2">
      <c r="B28" s="17"/>
      <c r="C28" s="17" t="s">
        <v>33</v>
      </c>
      <c r="D28" s="17"/>
      <c r="E28" s="17"/>
      <c r="F28" s="17"/>
      <c r="G28" s="17"/>
      <c r="H28" s="17"/>
      <c r="I28" s="17"/>
      <c r="J28" s="17"/>
      <c r="K28" s="17"/>
      <c r="L28" s="17"/>
      <c r="M28" s="17"/>
      <c r="N28" s="2"/>
      <c r="O28" s="2"/>
      <c r="P28" s="17"/>
    </row>
    <row r="29" spans="2:16" x14ac:dyDescent="0.2">
      <c r="B29" s="17"/>
      <c r="C29" s="17" t="s">
        <v>34</v>
      </c>
      <c r="D29" s="17"/>
      <c r="E29" s="17"/>
      <c r="F29" s="17"/>
      <c r="G29" s="17"/>
      <c r="H29" s="17"/>
      <c r="I29" s="17"/>
      <c r="J29" s="17"/>
      <c r="K29" s="17"/>
      <c r="L29" s="17"/>
      <c r="M29" s="17"/>
      <c r="N29" s="17"/>
      <c r="O29" s="17"/>
      <c r="P29" s="17"/>
    </row>
    <row r="30" spans="2:16" x14ac:dyDescent="0.2">
      <c r="B30" s="17"/>
      <c r="C30" s="279" t="s">
        <v>486</v>
      </c>
      <c r="D30" s="279"/>
      <c r="E30" s="279"/>
      <c r="F30" s="279"/>
      <c r="G30" s="279"/>
      <c r="H30" s="279"/>
      <c r="I30" s="279"/>
      <c r="J30" s="279"/>
      <c r="K30" s="279"/>
      <c r="L30" s="279"/>
      <c r="M30" s="279"/>
      <c r="N30" s="17"/>
      <c r="O30" s="17"/>
      <c r="P30" s="17"/>
    </row>
    <row r="31" spans="2:16" x14ac:dyDescent="0.2">
      <c r="B31" s="17"/>
      <c r="C31" s="17"/>
      <c r="D31" s="17"/>
      <c r="E31" s="17"/>
      <c r="F31" s="17"/>
      <c r="G31" s="17"/>
      <c r="H31" s="17"/>
      <c r="I31" s="17"/>
      <c r="J31" s="17"/>
      <c r="K31" s="17"/>
      <c r="L31" s="17"/>
      <c r="M31" s="17"/>
      <c r="N31" s="17"/>
      <c r="O31" s="17"/>
    </row>
    <row r="32" spans="2:16" x14ac:dyDescent="0.2">
      <c r="B32" s="9" t="s">
        <v>35</v>
      </c>
      <c r="C32" s="17"/>
      <c r="D32" s="17"/>
      <c r="E32" s="17"/>
      <c r="F32" s="17"/>
      <c r="G32" s="17"/>
      <c r="H32" s="17"/>
      <c r="I32" s="17"/>
      <c r="J32" s="17"/>
      <c r="K32" s="17"/>
      <c r="L32" s="17"/>
      <c r="M32" s="17"/>
      <c r="N32" s="17"/>
      <c r="O32" s="17"/>
    </row>
    <row r="33" spans="2:15" x14ac:dyDescent="0.2">
      <c r="B33" s="17"/>
      <c r="C33" s="17"/>
      <c r="D33" s="17"/>
      <c r="E33" s="17"/>
      <c r="F33" s="17"/>
      <c r="G33" s="17"/>
      <c r="H33" s="17"/>
      <c r="I33" s="17"/>
      <c r="J33" s="17"/>
      <c r="K33" s="17"/>
      <c r="L33" s="17"/>
      <c r="M33" s="17"/>
      <c r="N33" s="17"/>
      <c r="O33" s="17"/>
    </row>
    <row r="34" spans="2:15" x14ac:dyDescent="0.2">
      <c r="B34" s="17"/>
      <c r="C34" s="17"/>
      <c r="D34" s="17"/>
      <c r="E34" s="17"/>
      <c r="F34" s="17"/>
      <c r="G34" s="17"/>
      <c r="H34" s="17"/>
      <c r="I34" s="17"/>
      <c r="J34" s="17"/>
      <c r="K34" s="17"/>
      <c r="L34" s="17"/>
      <c r="M34" s="17"/>
      <c r="N34" s="17"/>
      <c r="O34" s="17"/>
    </row>
    <row r="35" spans="2:15" x14ac:dyDescent="0.2">
      <c r="B35" s="17"/>
      <c r="C35" s="17"/>
      <c r="D35" s="17"/>
      <c r="E35" s="17"/>
      <c r="F35" s="17"/>
      <c r="G35" s="17"/>
      <c r="H35" s="17"/>
      <c r="I35" s="17"/>
      <c r="J35" s="17"/>
      <c r="K35" s="17"/>
      <c r="L35" s="17"/>
      <c r="M35" s="17"/>
      <c r="N35" s="17"/>
      <c r="O35" s="17"/>
    </row>
    <row r="36" spans="2:15" x14ac:dyDescent="0.2">
      <c r="B36" s="17"/>
      <c r="C36" s="17"/>
      <c r="D36" s="17"/>
      <c r="E36" s="17"/>
      <c r="F36" s="17"/>
      <c r="G36" s="17"/>
      <c r="H36" s="17"/>
      <c r="I36" s="17"/>
      <c r="J36" s="17"/>
      <c r="K36" s="17"/>
      <c r="L36" s="17"/>
      <c r="M36" s="17"/>
      <c r="N36" s="17"/>
      <c r="O36" s="17"/>
    </row>
    <row r="37" spans="2:15" x14ac:dyDescent="0.2">
      <c r="B37" s="17"/>
      <c r="C37" s="17"/>
      <c r="D37" s="17"/>
      <c r="E37" s="17"/>
      <c r="F37" s="17"/>
      <c r="G37" s="17"/>
      <c r="H37" s="17"/>
      <c r="I37" s="17"/>
      <c r="J37" s="17"/>
      <c r="K37" s="17"/>
      <c r="L37" s="17"/>
      <c r="M37" s="17"/>
      <c r="N37" s="17"/>
      <c r="O37" s="17"/>
    </row>
    <row r="38" spans="2:15" x14ac:dyDescent="0.2">
      <c r="B38" s="17"/>
      <c r="C38" s="17"/>
      <c r="D38" s="17"/>
      <c r="E38" s="17"/>
      <c r="F38" s="17"/>
      <c r="G38" s="17"/>
      <c r="H38" s="17"/>
      <c r="I38" s="17"/>
      <c r="J38" s="17"/>
      <c r="K38" s="17"/>
      <c r="L38" s="17"/>
      <c r="M38" s="17"/>
      <c r="N38" s="17"/>
      <c r="O38" s="17"/>
    </row>
    <row r="39" spans="2:15" x14ac:dyDescent="0.2">
      <c r="B39" s="17"/>
      <c r="C39" s="17"/>
      <c r="D39" s="17"/>
      <c r="E39" s="17"/>
      <c r="F39" s="17"/>
      <c r="G39" s="17"/>
      <c r="H39" s="17"/>
      <c r="I39" s="17"/>
      <c r="J39" s="17"/>
      <c r="K39" s="17"/>
      <c r="L39" s="17"/>
      <c r="M39" s="17"/>
      <c r="N39" s="17"/>
      <c r="O39" s="17"/>
    </row>
    <row r="40" spans="2:15" x14ac:dyDescent="0.2">
      <c r="B40" s="17"/>
      <c r="C40" s="17"/>
      <c r="D40" s="17"/>
      <c r="E40" s="17"/>
      <c r="F40" s="17"/>
      <c r="G40" s="17"/>
      <c r="H40" s="17"/>
      <c r="I40" s="17"/>
      <c r="J40" s="17"/>
      <c r="K40" s="17"/>
      <c r="L40" s="17"/>
      <c r="M40" s="17"/>
      <c r="N40" s="17"/>
      <c r="O40" s="17"/>
    </row>
    <row r="41" spans="2:15" x14ac:dyDescent="0.2">
      <c r="B41" s="17"/>
      <c r="C41" s="17"/>
      <c r="D41" s="17"/>
      <c r="E41" s="17"/>
      <c r="F41" s="17"/>
      <c r="G41" s="17"/>
      <c r="H41" s="17"/>
      <c r="I41" s="17"/>
      <c r="J41" s="17"/>
      <c r="K41" s="17"/>
      <c r="L41" s="17"/>
      <c r="M41" s="17"/>
      <c r="N41" s="17"/>
      <c r="O41" s="17"/>
    </row>
    <row r="42" spans="2:15" x14ac:dyDescent="0.2">
      <c r="B42" s="17"/>
      <c r="C42" s="17"/>
      <c r="D42" s="17"/>
      <c r="E42" s="17"/>
      <c r="F42" s="17"/>
      <c r="G42" s="17"/>
      <c r="H42" s="17"/>
      <c r="I42" s="17"/>
      <c r="J42" s="17"/>
      <c r="K42" s="17"/>
      <c r="L42" s="17"/>
      <c r="M42" s="17"/>
      <c r="N42" s="17"/>
      <c r="O42" s="17"/>
    </row>
    <row r="43" spans="2:15" x14ac:dyDescent="0.2">
      <c r="B43" s="17"/>
      <c r="C43" s="17"/>
      <c r="D43" s="17"/>
      <c r="E43" s="17"/>
      <c r="F43" s="17"/>
      <c r="G43" s="17"/>
      <c r="H43" s="17"/>
      <c r="I43" s="17"/>
      <c r="J43" s="17"/>
      <c r="K43" s="17"/>
      <c r="L43" s="17"/>
      <c r="M43" s="17"/>
      <c r="N43" s="17"/>
      <c r="O43" s="17"/>
    </row>
    <row r="44" spans="2:15" x14ac:dyDescent="0.2">
      <c r="B44" s="17"/>
      <c r="C44" s="17"/>
      <c r="D44" s="17"/>
      <c r="E44" s="17"/>
      <c r="F44" s="17"/>
      <c r="G44" s="17"/>
      <c r="H44" s="17"/>
      <c r="I44" s="17"/>
      <c r="J44" s="17"/>
      <c r="K44" s="17"/>
      <c r="L44" s="17"/>
      <c r="M44" s="17"/>
      <c r="N44" s="17"/>
      <c r="O44" s="17"/>
    </row>
    <row r="45" spans="2:15" x14ac:dyDescent="0.2">
      <c r="B45" s="17"/>
      <c r="C45" s="17"/>
      <c r="D45" s="17"/>
      <c r="E45" s="17"/>
      <c r="F45" s="17"/>
      <c r="G45" s="17"/>
      <c r="H45" s="17"/>
      <c r="I45" s="17"/>
      <c r="J45" s="17"/>
      <c r="K45" s="17"/>
      <c r="L45" s="17"/>
      <c r="M45" s="17"/>
      <c r="N45" s="17"/>
      <c r="O45" s="17"/>
    </row>
    <row r="46" spans="2:15" x14ac:dyDescent="0.2">
      <c r="B46" s="17"/>
      <c r="C46" s="17"/>
      <c r="D46" s="17"/>
      <c r="E46" s="17"/>
      <c r="F46" s="17"/>
      <c r="G46" s="17"/>
      <c r="H46" s="17"/>
      <c r="I46" s="17"/>
      <c r="J46" s="17"/>
      <c r="K46" s="17"/>
      <c r="L46" s="17"/>
      <c r="M46" s="17"/>
      <c r="N46" s="17"/>
      <c r="O46" s="17"/>
    </row>
    <row r="47" spans="2:15" x14ac:dyDescent="0.2">
      <c r="B47" s="17"/>
      <c r="C47" s="17"/>
      <c r="D47" s="17"/>
      <c r="E47" s="17"/>
      <c r="F47" s="17"/>
      <c r="G47" s="17"/>
      <c r="H47" s="17"/>
      <c r="I47" s="17"/>
      <c r="J47" s="17"/>
      <c r="K47" s="17"/>
      <c r="L47" s="17"/>
      <c r="M47" s="17"/>
      <c r="N47" s="17"/>
      <c r="O47" s="17"/>
    </row>
    <row r="48" spans="2:15" x14ac:dyDescent="0.2">
      <c r="B48" s="9" t="s">
        <v>36</v>
      </c>
      <c r="C48" s="17"/>
      <c r="D48" s="17"/>
      <c r="E48" s="17"/>
      <c r="F48" s="17"/>
      <c r="G48" s="17"/>
      <c r="H48" s="17"/>
      <c r="I48" s="17"/>
      <c r="J48" s="17"/>
      <c r="K48" s="17"/>
      <c r="L48" s="17"/>
      <c r="M48" s="17"/>
      <c r="N48" s="17"/>
      <c r="O48" s="17"/>
    </row>
    <row r="49" spans="2:15" x14ac:dyDescent="0.2">
      <c r="B49" s="17"/>
      <c r="C49" s="20" t="s">
        <v>37</v>
      </c>
      <c r="D49" s="17"/>
      <c r="E49" s="17"/>
      <c r="F49" s="17"/>
      <c r="G49" s="17"/>
      <c r="H49" s="17"/>
      <c r="I49" s="17"/>
      <c r="J49" s="17"/>
      <c r="K49" s="17"/>
      <c r="L49" s="17"/>
      <c r="M49" s="17"/>
      <c r="N49" s="17"/>
      <c r="O49" s="17"/>
    </row>
    <row r="50" spans="2:15" x14ac:dyDescent="0.2">
      <c r="B50" s="17"/>
      <c r="C50" s="17"/>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sheetData>
  <mergeCells count="17">
    <mergeCell ref="B13:B16"/>
    <mergeCell ref="B9:B12"/>
    <mergeCell ref="D9:M9"/>
    <mergeCell ref="D10:M10"/>
    <mergeCell ref="D11:M11"/>
    <mergeCell ref="D12:M12"/>
    <mergeCell ref="A1:N1"/>
    <mergeCell ref="A2:N2"/>
    <mergeCell ref="D4:M4"/>
    <mergeCell ref="D5:M5"/>
    <mergeCell ref="D6:M6"/>
    <mergeCell ref="C25:M25"/>
    <mergeCell ref="C30:M30"/>
    <mergeCell ref="D13:M13"/>
    <mergeCell ref="D14:M14"/>
    <mergeCell ref="D15:M15"/>
    <mergeCell ref="D16:M16"/>
  </mergeCells>
  <pageMargins left="0.25" right="0.25" top="0.5" bottom="0.5" header="0.3" footer="0.3"/>
  <pageSetup orientation="landscape" horizontalDpi="1200" verticalDpi="1200" r:id="rId1"/>
  <headerFooter>
    <oddFooter>Page &amp;P&amp;R&amp;F</oddFooter>
  </headerFooter>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Y665"/>
  <sheetViews>
    <sheetView showGridLines="0" topLeftCell="A82" zoomScale="90" zoomScaleNormal="90" zoomScalePageLayoutView="40" workbookViewId="0">
      <selection activeCell="I99" sqref="I99:I100"/>
    </sheetView>
  </sheetViews>
  <sheetFormatPr defaultColWidth="9.140625" defaultRowHeight="12.75" x14ac:dyDescent="0.2"/>
  <cols>
    <col min="1" max="1" width="1.85546875" style="2" customWidth="1"/>
    <col min="2" max="2" width="3.5703125" style="74" customWidth="1"/>
    <col min="3" max="3" width="29.5703125" style="3" customWidth="1"/>
    <col min="4" max="4" width="78" style="3" customWidth="1"/>
    <col min="5" max="5" width="15.85546875" style="3" customWidth="1"/>
    <col min="6" max="6" width="16.85546875" style="3" customWidth="1"/>
    <col min="7" max="7" width="15.5703125" style="3" customWidth="1"/>
    <col min="8" max="8" width="23.710937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84" t="s">
        <v>0</v>
      </c>
      <c r="C1" s="284"/>
      <c r="D1" s="284"/>
      <c r="E1" s="284"/>
      <c r="F1" s="284"/>
      <c r="G1" s="284"/>
      <c r="H1" s="284"/>
      <c r="I1" s="284"/>
      <c r="J1" s="284"/>
      <c r="K1" s="284"/>
      <c r="L1" s="284"/>
      <c r="M1" s="284"/>
      <c r="N1" s="284"/>
      <c r="O1" s="284"/>
      <c r="P1" s="284"/>
      <c r="Q1" s="284"/>
    </row>
    <row r="2" spans="1:25" ht="20.25" x14ac:dyDescent="0.3">
      <c r="B2" s="284" t="s">
        <v>38</v>
      </c>
      <c r="C2" s="284"/>
      <c r="D2" s="284"/>
      <c r="E2" s="284"/>
      <c r="F2" s="284"/>
      <c r="G2" s="284"/>
      <c r="H2" s="284"/>
      <c r="I2" s="284"/>
      <c r="J2" s="284"/>
      <c r="K2" s="284"/>
      <c r="L2" s="284"/>
      <c r="M2" s="284"/>
      <c r="N2" s="284"/>
      <c r="O2" s="284"/>
      <c r="P2" s="284"/>
      <c r="Q2" s="284"/>
    </row>
    <row r="3" spans="1:25" ht="5.25" customHeight="1" x14ac:dyDescent="0.2">
      <c r="B3" s="9"/>
      <c r="C3" s="2"/>
      <c r="D3" s="2"/>
      <c r="E3" s="2"/>
      <c r="F3" s="2"/>
      <c r="G3" s="2"/>
      <c r="H3" s="2"/>
      <c r="J3" s="2"/>
      <c r="K3" s="2"/>
      <c r="L3" s="2"/>
      <c r="M3" s="2"/>
      <c r="N3" s="2"/>
      <c r="O3" s="2"/>
      <c r="P3" s="2"/>
    </row>
    <row r="4" spans="1:25" ht="13.5" thickBot="1" x14ac:dyDescent="0.25">
      <c r="B4" s="305" t="s">
        <v>39</v>
      </c>
      <c r="C4" s="305"/>
      <c r="D4" s="21" t="s">
        <v>311</v>
      </c>
      <c r="E4" s="22"/>
      <c r="F4" s="2"/>
      <c r="G4" s="2"/>
      <c r="H4" s="2"/>
      <c r="J4" s="2"/>
      <c r="K4" s="2"/>
      <c r="L4" s="2"/>
      <c r="M4" s="2"/>
      <c r="N4" s="2"/>
      <c r="O4" s="2"/>
      <c r="P4" s="2"/>
    </row>
    <row r="5" spans="1:25" ht="13.5" thickBot="1" x14ac:dyDescent="0.25">
      <c r="B5" s="305" t="s">
        <v>40</v>
      </c>
      <c r="C5" s="305"/>
      <c r="D5" s="23">
        <v>1</v>
      </c>
      <c r="E5" s="24" t="s">
        <v>41</v>
      </c>
      <c r="F5" s="25" t="s">
        <v>42</v>
      </c>
      <c r="G5" s="310" t="s">
        <v>337</v>
      </c>
      <c r="H5" s="310"/>
      <c r="I5" s="310"/>
      <c r="J5" s="310"/>
      <c r="K5" s="26"/>
      <c r="L5" s="26"/>
      <c r="M5" s="27" t="s">
        <v>17</v>
      </c>
      <c r="N5" s="28" t="str">
        <f>DQI!I123</f>
        <v>2,1,5,2,2</v>
      </c>
      <c r="O5" s="29"/>
      <c r="P5" s="17" t="s">
        <v>43</v>
      </c>
    </row>
    <row r="6" spans="1:25" ht="27.75" customHeight="1" x14ac:dyDescent="0.2">
      <c r="B6" s="311" t="s">
        <v>44</v>
      </c>
      <c r="C6" s="312"/>
      <c r="D6" s="313" t="s">
        <v>852</v>
      </c>
      <c r="E6" s="314"/>
      <c r="F6" s="314"/>
      <c r="G6" s="314"/>
      <c r="H6" s="314"/>
      <c r="I6" s="314"/>
      <c r="J6" s="314"/>
      <c r="K6" s="314"/>
      <c r="L6" s="314"/>
      <c r="M6" s="314"/>
      <c r="N6" s="314"/>
      <c r="O6" s="315"/>
      <c r="P6" s="30"/>
    </row>
    <row r="7" spans="1:25" ht="13.5" thickBot="1" x14ac:dyDescent="0.25">
      <c r="B7" s="9"/>
      <c r="C7" s="2"/>
      <c r="D7" s="2"/>
      <c r="E7" s="2"/>
      <c r="F7" s="2"/>
      <c r="G7" s="2"/>
      <c r="H7" s="2"/>
      <c r="J7" s="2"/>
      <c r="K7" s="2"/>
      <c r="L7" s="2"/>
      <c r="M7" s="2"/>
      <c r="N7" s="2"/>
      <c r="O7" s="2"/>
      <c r="P7" s="2"/>
    </row>
    <row r="8" spans="1:25" s="32" customFormat="1" ht="13.5" thickBot="1" x14ac:dyDescent="0.25">
      <c r="A8" s="31"/>
      <c r="B8" s="316" t="s">
        <v>45</v>
      </c>
      <c r="C8" s="317"/>
      <c r="D8" s="317"/>
      <c r="E8" s="317"/>
      <c r="F8" s="317"/>
      <c r="G8" s="317"/>
      <c r="H8" s="317"/>
      <c r="I8" s="317"/>
      <c r="J8" s="317"/>
      <c r="K8" s="317"/>
      <c r="L8" s="317"/>
      <c r="M8" s="317"/>
      <c r="N8" s="317"/>
      <c r="O8" s="317"/>
      <c r="P8" s="318"/>
      <c r="Q8" s="31"/>
      <c r="R8" s="31"/>
      <c r="S8" s="31"/>
      <c r="T8" s="31"/>
      <c r="U8" s="31"/>
      <c r="V8" s="31"/>
      <c r="W8" s="31"/>
      <c r="X8" s="31"/>
      <c r="Y8" s="31"/>
    </row>
    <row r="9" spans="1:25" x14ac:dyDescent="0.2">
      <c r="B9" s="9"/>
      <c r="C9" s="2"/>
      <c r="D9" s="2"/>
      <c r="E9" s="2"/>
      <c r="F9" s="2"/>
      <c r="G9" s="2"/>
      <c r="H9" s="2"/>
      <c r="J9" s="2"/>
      <c r="K9" s="2"/>
      <c r="L9" s="2"/>
      <c r="M9" s="2"/>
      <c r="N9" s="2"/>
      <c r="O9" s="2"/>
      <c r="P9" s="2"/>
    </row>
    <row r="10" spans="1:25" x14ac:dyDescent="0.2">
      <c r="B10" s="305" t="s">
        <v>46</v>
      </c>
      <c r="C10" s="305"/>
      <c r="D10" s="319" t="s">
        <v>312</v>
      </c>
      <c r="E10" s="304"/>
      <c r="F10" s="2"/>
      <c r="G10" s="33" t="s">
        <v>47</v>
      </c>
      <c r="H10" s="34"/>
      <c r="I10" s="34"/>
      <c r="J10" s="34"/>
      <c r="K10" s="34"/>
      <c r="L10" s="34"/>
      <c r="M10" s="34"/>
      <c r="N10" s="34"/>
      <c r="O10" s="35"/>
      <c r="P10" s="2"/>
    </row>
    <row r="11" spans="1:25" x14ac:dyDescent="0.2">
      <c r="B11" s="301" t="s">
        <v>48</v>
      </c>
      <c r="C11" s="302"/>
      <c r="D11" s="303" t="s">
        <v>313</v>
      </c>
      <c r="E11" s="304"/>
      <c r="F11" s="2"/>
      <c r="G11" s="36" t="str">
        <f>CONCATENATE("Reference Flow: ",D5," ",E5," of ",G5)</f>
        <v>Reference Flow: 1 kg of Produced Natural Gas</v>
      </c>
      <c r="H11" s="37"/>
      <c r="I11" s="37"/>
      <c r="J11" s="37"/>
      <c r="K11" s="37"/>
      <c r="L11" s="37"/>
      <c r="M11" s="37"/>
      <c r="N11" s="37"/>
      <c r="O11" s="38"/>
      <c r="P11" s="2"/>
    </row>
    <row r="12" spans="1:25" x14ac:dyDescent="0.2">
      <c r="B12" s="305" t="s">
        <v>49</v>
      </c>
      <c r="C12" s="305"/>
      <c r="D12" s="306">
        <v>2016</v>
      </c>
      <c r="E12" s="306"/>
      <c r="F12" s="2"/>
      <c r="G12" s="36"/>
      <c r="H12" s="37"/>
      <c r="I12" s="37"/>
      <c r="J12" s="37"/>
      <c r="K12" s="37"/>
      <c r="L12" s="37"/>
      <c r="M12" s="37"/>
      <c r="N12" s="37"/>
      <c r="O12" s="38"/>
      <c r="P12" s="2"/>
    </row>
    <row r="13" spans="1:25" ht="12.75" customHeight="1" x14ac:dyDescent="0.2">
      <c r="B13" s="305" t="s">
        <v>50</v>
      </c>
      <c r="C13" s="305"/>
      <c r="D13" s="306" t="s">
        <v>85</v>
      </c>
      <c r="E13" s="306"/>
      <c r="F13" s="2"/>
      <c r="G13" s="307" t="s">
        <v>853</v>
      </c>
      <c r="H13" s="308"/>
      <c r="I13" s="308"/>
      <c r="J13" s="308"/>
      <c r="K13" s="308"/>
      <c r="L13" s="308"/>
      <c r="M13" s="308"/>
      <c r="N13" s="308"/>
      <c r="O13" s="309"/>
      <c r="P13" s="2"/>
    </row>
    <row r="14" spans="1:25" x14ac:dyDescent="0.2">
      <c r="B14" s="305" t="s">
        <v>51</v>
      </c>
      <c r="C14" s="305"/>
      <c r="D14" s="306" t="s">
        <v>91</v>
      </c>
      <c r="E14" s="306"/>
      <c r="F14" s="2"/>
      <c r="G14" s="307"/>
      <c r="H14" s="308"/>
      <c r="I14" s="308"/>
      <c r="J14" s="308"/>
      <c r="K14" s="308"/>
      <c r="L14" s="308"/>
      <c r="M14" s="308"/>
      <c r="N14" s="308"/>
      <c r="O14" s="309"/>
      <c r="P14" s="2"/>
    </row>
    <row r="15" spans="1:25" x14ac:dyDescent="0.2">
      <c r="B15" s="305" t="s">
        <v>52</v>
      </c>
      <c r="C15" s="305"/>
      <c r="D15" s="306" t="s">
        <v>339</v>
      </c>
      <c r="E15" s="306"/>
      <c r="F15" s="2"/>
      <c r="G15" s="307"/>
      <c r="H15" s="308"/>
      <c r="I15" s="308"/>
      <c r="J15" s="308"/>
      <c r="K15" s="308"/>
      <c r="L15" s="308"/>
      <c r="M15" s="308"/>
      <c r="N15" s="308"/>
      <c r="O15" s="309"/>
      <c r="P15" s="2"/>
    </row>
    <row r="16" spans="1:25" x14ac:dyDescent="0.2">
      <c r="B16" s="305" t="s">
        <v>53</v>
      </c>
      <c r="C16" s="305"/>
      <c r="D16" s="306" t="s">
        <v>92</v>
      </c>
      <c r="E16" s="306"/>
      <c r="F16" s="2"/>
      <c r="G16" s="307"/>
      <c r="H16" s="308"/>
      <c r="I16" s="308"/>
      <c r="J16" s="308"/>
      <c r="K16" s="308"/>
      <c r="L16" s="308"/>
      <c r="M16" s="308"/>
      <c r="N16" s="308"/>
      <c r="O16" s="309"/>
      <c r="P16" s="2"/>
    </row>
    <row r="17" spans="1:25" ht="23.45" customHeight="1" x14ac:dyDescent="0.2">
      <c r="B17" s="321" t="s">
        <v>54</v>
      </c>
      <c r="C17" s="322"/>
      <c r="D17" s="323"/>
      <c r="E17" s="323"/>
      <c r="F17" s="2"/>
      <c r="G17" s="39" t="s">
        <v>338</v>
      </c>
      <c r="H17" s="40"/>
      <c r="I17" s="40"/>
      <c r="J17" s="40"/>
      <c r="K17" s="40"/>
      <c r="L17" s="40"/>
      <c r="M17" s="40"/>
      <c r="N17" s="40"/>
      <c r="O17" s="41"/>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32" customFormat="1" ht="13.5" thickBot="1" x14ac:dyDescent="0.25">
      <c r="A20" s="31"/>
      <c r="B20" s="316" t="s">
        <v>55</v>
      </c>
      <c r="C20" s="317"/>
      <c r="D20" s="317"/>
      <c r="E20" s="317"/>
      <c r="F20" s="317"/>
      <c r="G20" s="317"/>
      <c r="H20" s="317"/>
      <c r="I20" s="317"/>
      <c r="J20" s="317"/>
      <c r="K20" s="317"/>
      <c r="L20" s="317"/>
      <c r="M20" s="317"/>
      <c r="N20" s="317"/>
      <c r="O20" s="317"/>
      <c r="P20" s="318"/>
      <c r="Q20" s="31"/>
      <c r="R20" s="31"/>
      <c r="S20" s="31"/>
      <c r="T20" s="31"/>
      <c r="U20" s="31"/>
      <c r="V20" s="31"/>
      <c r="W20" s="31"/>
      <c r="X20" s="31"/>
      <c r="Y20" s="31"/>
    </row>
    <row r="21" spans="1:25" x14ac:dyDescent="0.2">
      <c r="B21" s="9"/>
      <c r="C21" s="2"/>
      <c r="D21" s="2"/>
      <c r="E21" s="2"/>
      <c r="F21" s="2"/>
      <c r="G21" s="42" t="s">
        <v>56</v>
      </c>
      <c r="H21" s="2"/>
      <c r="J21" s="2"/>
      <c r="K21" s="2"/>
      <c r="L21" s="2"/>
      <c r="M21" s="2"/>
      <c r="N21" s="2"/>
      <c r="O21" s="2"/>
      <c r="P21" s="2"/>
    </row>
    <row r="22" spans="1:25" x14ac:dyDescent="0.2">
      <c r="B22" s="9"/>
      <c r="C22" s="43" t="s">
        <v>57</v>
      </c>
      <c r="D22" s="43" t="s">
        <v>58</v>
      </c>
      <c r="E22" s="43" t="s">
        <v>59</v>
      </c>
      <c r="F22" s="43" t="s">
        <v>60</v>
      </c>
      <c r="G22" s="43" t="s">
        <v>61</v>
      </c>
      <c r="H22" s="43" t="s">
        <v>62</v>
      </c>
      <c r="I22" s="43" t="s">
        <v>63</v>
      </c>
      <c r="J22" s="324" t="s">
        <v>64</v>
      </c>
      <c r="K22" s="325"/>
      <c r="L22" s="325"/>
      <c r="M22" s="325"/>
      <c r="N22" s="325"/>
      <c r="O22" s="325"/>
      <c r="P22" s="326"/>
    </row>
    <row r="23" spans="1:25" x14ac:dyDescent="0.2">
      <c r="B23" s="17">
        <f t="shared" ref="B23:B92" si="0">LEN(C23)</f>
        <v>27</v>
      </c>
      <c r="C23" s="222" t="s">
        <v>227</v>
      </c>
      <c r="D23" s="45"/>
      <c r="E23" s="236">
        <f>PS!C7</f>
        <v>1042638.2054951957</v>
      </c>
      <c r="F23" s="236">
        <f>PS!D7</f>
        <v>1041778.8305047662</v>
      </c>
      <c r="G23" s="236">
        <f>PS!E7</f>
        <v>1043497.5804856252</v>
      </c>
      <c r="H23" s="230" t="s">
        <v>305</v>
      </c>
      <c r="I23" s="46">
        <v>2</v>
      </c>
      <c r="J23" s="303" t="s">
        <v>342</v>
      </c>
      <c r="K23" s="327"/>
      <c r="L23" s="327"/>
      <c r="M23" s="327"/>
      <c r="N23" s="327"/>
      <c r="O23" s="327"/>
      <c r="P23" s="328"/>
    </row>
    <row r="24" spans="1:25" x14ac:dyDescent="0.2">
      <c r="B24" s="17">
        <f t="shared" si="0"/>
        <v>21</v>
      </c>
      <c r="C24" s="81" t="s">
        <v>228</v>
      </c>
      <c r="D24" s="45"/>
      <c r="E24" s="236">
        <f>PS!C8</f>
        <v>3584451.7591672498</v>
      </c>
      <c r="F24" s="236">
        <f>PS!D8</f>
        <v>3366063.3233112302</v>
      </c>
      <c r="G24" s="236">
        <f>PS!E8</f>
        <v>3802840.1950232601</v>
      </c>
      <c r="H24" s="230" t="s">
        <v>306</v>
      </c>
      <c r="I24" s="46">
        <v>3</v>
      </c>
      <c r="J24" s="303" t="s">
        <v>343</v>
      </c>
      <c r="K24" s="327"/>
      <c r="L24" s="327"/>
      <c r="M24" s="327"/>
      <c r="N24" s="327"/>
      <c r="O24" s="327"/>
      <c r="P24" s="328"/>
    </row>
    <row r="25" spans="1:25" x14ac:dyDescent="0.2">
      <c r="B25" s="17">
        <f t="shared" si="0"/>
        <v>23</v>
      </c>
      <c r="C25" s="81" t="s">
        <v>229</v>
      </c>
      <c r="D25" s="45"/>
      <c r="E25" s="236">
        <f>PS!C9</f>
        <v>0.1</v>
      </c>
      <c r="F25" s="236">
        <f>PS!D9</f>
        <v>0</v>
      </c>
      <c r="G25" s="236">
        <f>PS!E9</f>
        <v>0.6</v>
      </c>
      <c r="H25" s="230" t="s">
        <v>307</v>
      </c>
      <c r="I25" s="46">
        <v>1</v>
      </c>
      <c r="J25" s="303" t="s">
        <v>344</v>
      </c>
      <c r="K25" s="327"/>
      <c r="L25" s="327"/>
      <c r="M25" s="327"/>
      <c r="N25" s="327"/>
      <c r="O25" s="327"/>
      <c r="P25" s="328"/>
    </row>
    <row r="26" spans="1:25" ht="15" x14ac:dyDescent="0.25">
      <c r="B26" s="17">
        <f t="shared" si="0"/>
        <v>8</v>
      </c>
      <c r="C26" s="223" t="s">
        <v>230</v>
      </c>
      <c r="D26" s="45"/>
      <c r="E26" s="236">
        <f>PS!C10</f>
        <v>30223.824662813098</v>
      </c>
      <c r="F26" s="236">
        <f>PS!D10</f>
        <v>27133.116037363099</v>
      </c>
      <c r="G26" s="236">
        <f>PS!E10</f>
        <v>33314.533288263097</v>
      </c>
      <c r="H26" s="230" t="s">
        <v>308</v>
      </c>
      <c r="I26" s="46">
        <v>4</v>
      </c>
      <c r="J26" s="303" t="s">
        <v>345</v>
      </c>
      <c r="K26" s="327"/>
      <c r="L26" s="327"/>
      <c r="M26" s="327"/>
      <c r="N26" s="327"/>
      <c r="O26" s="327"/>
      <c r="P26" s="328"/>
    </row>
    <row r="27" spans="1:25" ht="15" x14ac:dyDescent="0.25">
      <c r="B27" s="17">
        <f t="shared" si="0"/>
        <v>8</v>
      </c>
      <c r="C27" s="223" t="s">
        <v>231</v>
      </c>
      <c r="D27" s="45"/>
      <c r="E27" s="236">
        <f>PS!C11</f>
        <v>0</v>
      </c>
      <c r="F27" s="236">
        <f>PS!D11</f>
        <v>0</v>
      </c>
      <c r="G27" s="236">
        <f>PS!E11</f>
        <v>0</v>
      </c>
      <c r="H27" s="230" t="s">
        <v>308</v>
      </c>
      <c r="I27" s="46">
        <v>4</v>
      </c>
      <c r="J27" s="303" t="s">
        <v>346</v>
      </c>
      <c r="K27" s="327"/>
      <c r="L27" s="327"/>
      <c r="M27" s="327"/>
      <c r="N27" s="327"/>
      <c r="O27" s="327"/>
      <c r="P27" s="328"/>
    </row>
    <row r="28" spans="1:25" ht="15" x14ac:dyDescent="0.25">
      <c r="B28" s="17">
        <f t="shared" si="0"/>
        <v>7</v>
      </c>
      <c r="C28" s="223" t="s">
        <v>232</v>
      </c>
      <c r="D28" s="45"/>
      <c r="E28" s="236">
        <f>PS!C12</f>
        <v>0</v>
      </c>
      <c r="F28" s="236">
        <f>PS!D12</f>
        <v>0</v>
      </c>
      <c r="G28" s="236">
        <f>PS!E12</f>
        <v>0</v>
      </c>
      <c r="H28" s="230" t="s">
        <v>308</v>
      </c>
      <c r="I28" s="46">
        <v>4</v>
      </c>
      <c r="J28" s="303" t="s">
        <v>347</v>
      </c>
      <c r="K28" s="327"/>
      <c r="L28" s="327"/>
      <c r="M28" s="327"/>
      <c r="N28" s="327"/>
      <c r="O28" s="327"/>
      <c r="P28" s="328"/>
    </row>
    <row r="29" spans="1:25" ht="15" x14ac:dyDescent="0.25">
      <c r="B29" s="17">
        <f t="shared" si="0"/>
        <v>7</v>
      </c>
      <c r="C29" s="223" t="s">
        <v>233</v>
      </c>
      <c r="D29" s="45"/>
      <c r="E29" s="236">
        <f>PS!C13</f>
        <v>0</v>
      </c>
      <c r="F29" s="236">
        <f>PS!D13</f>
        <v>0</v>
      </c>
      <c r="G29" s="236">
        <f>PS!E13</f>
        <v>0</v>
      </c>
      <c r="H29" s="230" t="s">
        <v>308</v>
      </c>
      <c r="I29" s="46">
        <v>4</v>
      </c>
      <c r="J29" s="243" t="s">
        <v>348</v>
      </c>
      <c r="K29" s="243"/>
      <c r="L29" s="243"/>
      <c r="M29" s="243"/>
      <c r="N29" s="243"/>
      <c r="O29" s="243"/>
      <c r="P29" s="244"/>
    </row>
    <row r="30" spans="1:25" ht="15" x14ac:dyDescent="0.25">
      <c r="B30" s="17">
        <f t="shared" si="0"/>
        <v>7</v>
      </c>
      <c r="C30" s="223" t="s">
        <v>234</v>
      </c>
      <c r="D30" s="45"/>
      <c r="E30" s="236">
        <f>PS!C14</f>
        <v>0</v>
      </c>
      <c r="F30" s="236">
        <f>PS!D14</f>
        <v>0</v>
      </c>
      <c r="G30" s="236">
        <f>PS!E14</f>
        <v>0</v>
      </c>
      <c r="H30" s="230" t="s">
        <v>308</v>
      </c>
      <c r="I30" s="46">
        <v>4</v>
      </c>
      <c r="J30" s="243" t="s">
        <v>349</v>
      </c>
      <c r="K30" s="243"/>
      <c r="L30" s="243"/>
      <c r="M30" s="243"/>
      <c r="N30" s="243"/>
      <c r="O30" s="243"/>
      <c r="P30" s="244"/>
    </row>
    <row r="31" spans="1:25" ht="15" x14ac:dyDescent="0.25">
      <c r="B31" s="17">
        <f t="shared" si="0"/>
        <v>6</v>
      </c>
      <c r="C31" s="223" t="s">
        <v>235</v>
      </c>
      <c r="D31" s="45"/>
      <c r="E31" s="236">
        <f>PS!C15</f>
        <v>0</v>
      </c>
      <c r="F31" s="236">
        <f>PS!D15</f>
        <v>0</v>
      </c>
      <c r="G31" s="236">
        <f>PS!E15</f>
        <v>0</v>
      </c>
      <c r="H31" s="230" t="s">
        <v>308</v>
      </c>
      <c r="I31" s="46">
        <v>4</v>
      </c>
      <c r="J31" s="243" t="s">
        <v>350</v>
      </c>
      <c r="K31" s="243"/>
      <c r="L31" s="243"/>
      <c r="M31" s="243"/>
      <c r="N31" s="243"/>
      <c r="O31" s="243"/>
      <c r="P31" s="244"/>
    </row>
    <row r="32" spans="1:25" ht="15" x14ac:dyDescent="0.25">
      <c r="B32" s="17">
        <f t="shared" si="0"/>
        <v>7</v>
      </c>
      <c r="C32" s="223" t="s">
        <v>236</v>
      </c>
      <c r="D32" s="45"/>
      <c r="E32" s="236">
        <f>PS!C16</f>
        <v>0</v>
      </c>
      <c r="F32" s="236">
        <f>PS!D16</f>
        <v>0</v>
      </c>
      <c r="G32" s="236">
        <f>PS!E16</f>
        <v>0</v>
      </c>
      <c r="H32" s="230" t="s">
        <v>308</v>
      </c>
      <c r="I32" s="46">
        <v>4</v>
      </c>
      <c r="J32" s="243" t="s">
        <v>351</v>
      </c>
      <c r="K32" s="243"/>
      <c r="L32" s="243"/>
      <c r="M32" s="243"/>
      <c r="N32" s="243"/>
      <c r="O32" s="243"/>
      <c r="P32" s="244"/>
    </row>
    <row r="33" spans="2:16" ht="15" x14ac:dyDescent="0.25">
      <c r="B33" s="17">
        <f t="shared" si="0"/>
        <v>7</v>
      </c>
      <c r="C33" s="223" t="s">
        <v>237</v>
      </c>
      <c r="D33" s="45"/>
      <c r="E33" s="236">
        <f>PS!C17</f>
        <v>0</v>
      </c>
      <c r="F33" s="236">
        <f>PS!D17</f>
        <v>0</v>
      </c>
      <c r="G33" s="236">
        <f>PS!E17</f>
        <v>0</v>
      </c>
      <c r="H33" s="230" t="s">
        <v>308</v>
      </c>
      <c r="I33" s="46">
        <v>4</v>
      </c>
      <c r="J33" s="243" t="s">
        <v>352</v>
      </c>
      <c r="K33" s="243"/>
      <c r="L33" s="243"/>
      <c r="M33" s="243"/>
      <c r="N33" s="243"/>
      <c r="O33" s="243"/>
      <c r="P33" s="244"/>
    </row>
    <row r="34" spans="2:16" ht="15" x14ac:dyDescent="0.25">
      <c r="B34" s="17">
        <f t="shared" si="0"/>
        <v>7</v>
      </c>
      <c r="C34" s="223" t="s">
        <v>238</v>
      </c>
      <c r="D34" s="45"/>
      <c r="E34" s="236">
        <f>PS!C18</f>
        <v>0</v>
      </c>
      <c r="F34" s="236">
        <f>PS!D18</f>
        <v>0</v>
      </c>
      <c r="G34" s="236">
        <f>PS!E18</f>
        <v>0</v>
      </c>
      <c r="H34" s="230" t="s">
        <v>308</v>
      </c>
      <c r="I34" s="46">
        <v>4</v>
      </c>
      <c r="J34" s="243" t="s">
        <v>353</v>
      </c>
      <c r="K34" s="243"/>
      <c r="L34" s="243"/>
      <c r="M34" s="243"/>
      <c r="N34" s="243"/>
      <c r="O34" s="243"/>
      <c r="P34" s="244"/>
    </row>
    <row r="35" spans="2:16" ht="15" x14ac:dyDescent="0.25">
      <c r="B35" s="17">
        <f t="shared" si="0"/>
        <v>7</v>
      </c>
      <c r="C35" s="223" t="s">
        <v>239</v>
      </c>
      <c r="D35" s="45"/>
      <c r="E35" s="236">
        <f>PS!C19</f>
        <v>966.24193798449596</v>
      </c>
      <c r="F35" s="236">
        <f>PS!D19</f>
        <v>829.49171311147097</v>
      </c>
      <c r="G35" s="236">
        <f>PS!E19</f>
        <v>1102.99216285752</v>
      </c>
      <c r="H35" s="230" t="s">
        <v>308</v>
      </c>
      <c r="I35" s="46">
        <v>4</v>
      </c>
      <c r="J35" s="243" t="s">
        <v>354</v>
      </c>
      <c r="K35" s="243"/>
      <c r="L35" s="243"/>
      <c r="M35" s="243"/>
      <c r="N35" s="243"/>
      <c r="O35" s="243"/>
      <c r="P35" s="244"/>
    </row>
    <row r="36" spans="2:16" ht="15" x14ac:dyDescent="0.25">
      <c r="B36" s="17">
        <f t="shared" si="0"/>
        <v>7</v>
      </c>
      <c r="C36" s="223" t="s">
        <v>240</v>
      </c>
      <c r="D36" s="45"/>
      <c r="E36" s="236">
        <f>PS!C20</f>
        <v>0</v>
      </c>
      <c r="F36" s="236">
        <f>PS!D20</f>
        <v>0</v>
      </c>
      <c r="G36" s="236">
        <f>PS!E20</f>
        <v>0</v>
      </c>
      <c r="H36" s="230" t="s">
        <v>308</v>
      </c>
      <c r="I36" s="46">
        <v>4</v>
      </c>
      <c r="J36" s="243" t="s">
        <v>355</v>
      </c>
      <c r="K36" s="243"/>
      <c r="L36" s="243"/>
      <c r="M36" s="243"/>
      <c r="N36" s="243"/>
      <c r="O36" s="243"/>
      <c r="P36" s="244"/>
    </row>
    <row r="37" spans="2:16" ht="15" x14ac:dyDescent="0.25">
      <c r="B37" s="17">
        <f t="shared" si="0"/>
        <v>7</v>
      </c>
      <c r="C37" s="223" t="s">
        <v>241</v>
      </c>
      <c r="D37" s="45"/>
      <c r="E37" s="236">
        <f>PS!C21</f>
        <v>16523.144616858201</v>
      </c>
      <c r="F37" s="236">
        <f>PS!D21</f>
        <v>14707.7728133008</v>
      </c>
      <c r="G37" s="236">
        <f>PS!E21</f>
        <v>18338.516420415599</v>
      </c>
      <c r="H37" s="230" t="s">
        <v>308</v>
      </c>
      <c r="I37" s="46">
        <v>4</v>
      </c>
      <c r="J37" s="243" t="s">
        <v>356</v>
      </c>
      <c r="K37" s="243"/>
      <c r="L37" s="243"/>
      <c r="M37" s="243"/>
      <c r="N37" s="243"/>
      <c r="O37" s="243"/>
      <c r="P37" s="244"/>
    </row>
    <row r="38" spans="2:16" ht="15" x14ac:dyDescent="0.25">
      <c r="B38" s="17">
        <f t="shared" si="0"/>
        <v>7</v>
      </c>
      <c r="C38" s="223" t="s">
        <v>242</v>
      </c>
      <c r="D38" s="45"/>
      <c r="E38" s="236">
        <f>PS!C22</f>
        <v>0</v>
      </c>
      <c r="F38" s="236">
        <f>PS!D22</f>
        <v>0</v>
      </c>
      <c r="G38" s="236">
        <f>PS!E22</f>
        <v>0</v>
      </c>
      <c r="H38" s="230" t="s">
        <v>308</v>
      </c>
      <c r="I38" s="46">
        <v>4</v>
      </c>
      <c r="J38" s="243" t="s">
        <v>357</v>
      </c>
      <c r="K38" s="243"/>
      <c r="L38" s="243"/>
      <c r="M38" s="243"/>
      <c r="N38" s="243"/>
      <c r="O38" s="243"/>
      <c r="P38" s="244"/>
    </row>
    <row r="39" spans="2:16" ht="15" x14ac:dyDescent="0.25">
      <c r="B39" s="17">
        <f t="shared" si="0"/>
        <v>7</v>
      </c>
      <c r="C39" s="223" t="s">
        <v>243</v>
      </c>
      <c r="D39" s="45"/>
      <c r="E39" s="236">
        <f>PS!C23</f>
        <v>0</v>
      </c>
      <c r="F39" s="236">
        <f>PS!D23</f>
        <v>0</v>
      </c>
      <c r="G39" s="236">
        <f>PS!E23</f>
        <v>0</v>
      </c>
      <c r="H39" s="230" t="s">
        <v>308</v>
      </c>
      <c r="I39" s="46">
        <v>4</v>
      </c>
      <c r="J39" s="243" t="s">
        <v>358</v>
      </c>
      <c r="K39" s="243"/>
      <c r="L39" s="243"/>
      <c r="M39" s="243"/>
      <c r="N39" s="243"/>
      <c r="O39" s="243"/>
      <c r="P39" s="244"/>
    </row>
    <row r="40" spans="2:16" ht="15" x14ac:dyDescent="0.25">
      <c r="B40" s="17">
        <f t="shared" si="0"/>
        <v>7</v>
      </c>
      <c r="C40" s="223" t="s">
        <v>244</v>
      </c>
      <c r="D40" s="45"/>
      <c r="E40" s="236">
        <f>PS!C24</f>
        <v>0</v>
      </c>
      <c r="F40" s="236">
        <f>PS!D24</f>
        <v>0</v>
      </c>
      <c r="G40" s="236">
        <f>PS!E24</f>
        <v>0</v>
      </c>
      <c r="H40" s="230" t="s">
        <v>308</v>
      </c>
      <c r="I40" s="46">
        <v>4</v>
      </c>
      <c r="J40" s="243" t="s">
        <v>359</v>
      </c>
      <c r="K40" s="243"/>
      <c r="L40" s="243"/>
      <c r="M40" s="243"/>
      <c r="N40" s="243"/>
      <c r="O40" s="243"/>
      <c r="P40" s="244"/>
    </row>
    <row r="41" spans="2:16" ht="15" x14ac:dyDescent="0.25">
      <c r="B41" s="17">
        <f t="shared" si="0"/>
        <v>6</v>
      </c>
      <c r="C41" s="223" t="s">
        <v>245</v>
      </c>
      <c r="D41" s="45"/>
      <c r="E41" s="236">
        <f>PS!C25</f>
        <v>0</v>
      </c>
      <c r="F41" s="236">
        <f>PS!D25</f>
        <v>0</v>
      </c>
      <c r="G41" s="236">
        <f>PS!E25</f>
        <v>0</v>
      </c>
      <c r="H41" s="230" t="s">
        <v>308</v>
      </c>
      <c r="I41" s="46">
        <v>4</v>
      </c>
      <c r="J41" s="243" t="s">
        <v>360</v>
      </c>
      <c r="K41" s="243"/>
      <c r="L41" s="243"/>
      <c r="M41" s="243"/>
      <c r="N41" s="243"/>
      <c r="O41" s="243"/>
      <c r="P41" s="244"/>
    </row>
    <row r="42" spans="2:16" ht="15" x14ac:dyDescent="0.25">
      <c r="B42" s="17">
        <f t="shared" si="0"/>
        <v>10</v>
      </c>
      <c r="C42" s="223" t="s">
        <v>246</v>
      </c>
      <c r="D42" s="45"/>
      <c r="E42" s="236">
        <f>PS!C26</f>
        <v>0</v>
      </c>
      <c r="F42" s="236">
        <f>PS!D26</f>
        <v>0</v>
      </c>
      <c r="G42" s="236">
        <f>PS!E26</f>
        <v>0</v>
      </c>
      <c r="H42" s="230" t="s">
        <v>308</v>
      </c>
      <c r="I42" s="46">
        <v>4</v>
      </c>
      <c r="J42" s="243" t="s">
        <v>361</v>
      </c>
      <c r="K42" s="243"/>
      <c r="L42" s="243"/>
      <c r="M42" s="243"/>
      <c r="N42" s="243"/>
      <c r="O42" s="243"/>
      <c r="P42" s="244"/>
    </row>
    <row r="43" spans="2:16" ht="15" x14ac:dyDescent="0.25">
      <c r="B43" s="17">
        <f t="shared" si="0"/>
        <v>9</v>
      </c>
      <c r="C43" s="224" t="s">
        <v>247</v>
      </c>
      <c r="D43" s="45"/>
      <c r="E43" s="236">
        <f>PS!C27</f>
        <v>1260.38483168317</v>
      </c>
      <c r="F43" s="236">
        <f>PS!D27</f>
        <v>1144.75267112503</v>
      </c>
      <c r="G43" s="236">
        <f>PS!E27</f>
        <v>1376.0169922413099</v>
      </c>
      <c r="H43" s="230" t="s">
        <v>308</v>
      </c>
      <c r="I43" s="46">
        <v>4</v>
      </c>
      <c r="J43" s="243" t="s">
        <v>362</v>
      </c>
      <c r="K43" s="243"/>
      <c r="L43" s="243"/>
      <c r="M43" s="243"/>
      <c r="N43" s="243"/>
      <c r="O43" s="243"/>
      <c r="P43" s="244"/>
    </row>
    <row r="44" spans="2:16" ht="15" x14ac:dyDescent="0.25">
      <c r="B44" s="17">
        <f t="shared" si="0"/>
        <v>7</v>
      </c>
      <c r="C44" s="223" t="s">
        <v>248</v>
      </c>
      <c r="D44" s="45"/>
      <c r="E44" s="236">
        <f>PS!C28</f>
        <v>0</v>
      </c>
      <c r="F44" s="236">
        <f>PS!D28</f>
        <v>0</v>
      </c>
      <c r="G44" s="236">
        <f>PS!E28</f>
        <v>0</v>
      </c>
      <c r="H44" s="230" t="s">
        <v>308</v>
      </c>
      <c r="I44" s="46">
        <v>4</v>
      </c>
      <c r="J44" s="243" t="s">
        <v>363</v>
      </c>
      <c r="K44" s="243"/>
      <c r="L44" s="243"/>
      <c r="M44" s="243"/>
      <c r="N44" s="243"/>
      <c r="O44" s="243"/>
      <c r="P44" s="244"/>
    </row>
    <row r="45" spans="2:16" ht="15" x14ac:dyDescent="0.25">
      <c r="B45" s="17">
        <f t="shared" si="0"/>
        <v>6</v>
      </c>
      <c r="C45" s="224" t="s">
        <v>249</v>
      </c>
      <c r="D45" s="45"/>
      <c r="E45" s="236">
        <f>PS!C29</f>
        <v>0</v>
      </c>
      <c r="F45" s="236">
        <f>PS!D29</f>
        <v>0</v>
      </c>
      <c r="G45" s="236">
        <f>PS!E29</f>
        <v>0</v>
      </c>
      <c r="H45" s="230" t="s">
        <v>308</v>
      </c>
      <c r="I45" s="46">
        <v>4</v>
      </c>
      <c r="J45" s="243" t="s">
        <v>364</v>
      </c>
      <c r="K45" s="243"/>
      <c r="L45" s="243"/>
      <c r="M45" s="243"/>
      <c r="N45" s="243"/>
      <c r="O45" s="243"/>
      <c r="P45" s="244"/>
    </row>
    <row r="46" spans="2:16" ht="15" x14ac:dyDescent="0.25">
      <c r="B46" s="17">
        <f t="shared" si="0"/>
        <v>6</v>
      </c>
      <c r="C46" s="223" t="s">
        <v>250</v>
      </c>
      <c r="D46" s="45"/>
      <c r="E46" s="236">
        <f>PS!C30</f>
        <v>654.54311557788901</v>
      </c>
      <c r="F46" s="236">
        <f>PS!D30</f>
        <v>376.29160247366502</v>
      </c>
      <c r="G46" s="236">
        <f>PS!E30</f>
        <v>932.79462868211294</v>
      </c>
      <c r="H46" s="230" t="s">
        <v>308</v>
      </c>
      <c r="I46" s="46">
        <v>4</v>
      </c>
      <c r="J46" s="243" t="s">
        <v>365</v>
      </c>
      <c r="K46" s="243"/>
      <c r="L46" s="243"/>
      <c r="M46" s="243"/>
      <c r="N46" s="243"/>
      <c r="O46" s="243"/>
      <c r="P46" s="244"/>
    </row>
    <row r="47" spans="2:16" ht="15" x14ac:dyDescent="0.25">
      <c r="B47" s="17">
        <f t="shared" si="0"/>
        <v>7</v>
      </c>
      <c r="C47" s="223" t="s">
        <v>251</v>
      </c>
      <c r="D47" s="45"/>
      <c r="E47" s="236">
        <f>PS!C31</f>
        <v>0</v>
      </c>
      <c r="F47" s="236">
        <f>PS!D31</f>
        <v>0</v>
      </c>
      <c r="G47" s="236">
        <f>PS!E31</f>
        <v>0</v>
      </c>
      <c r="H47" s="230" t="s">
        <v>308</v>
      </c>
      <c r="I47" s="46">
        <v>4</v>
      </c>
      <c r="J47" s="243" t="s">
        <v>366</v>
      </c>
      <c r="K47" s="243"/>
      <c r="L47" s="243"/>
      <c r="M47" s="243"/>
      <c r="N47" s="243"/>
      <c r="O47" s="243"/>
      <c r="P47" s="244"/>
    </row>
    <row r="48" spans="2:16" ht="15" x14ac:dyDescent="0.25">
      <c r="B48" s="17">
        <f t="shared" si="0"/>
        <v>7</v>
      </c>
      <c r="C48" s="223" t="s">
        <v>252</v>
      </c>
      <c r="D48" s="45"/>
      <c r="E48" s="236">
        <f>PS!C32</f>
        <v>219.62611445783099</v>
      </c>
      <c r="F48" s="236">
        <f>PS!D32</f>
        <v>183.97467533251401</v>
      </c>
      <c r="G48" s="236">
        <f>PS!E32</f>
        <v>255.27755358314801</v>
      </c>
      <c r="H48" s="230" t="s">
        <v>308</v>
      </c>
      <c r="I48" s="46">
        <v>4</v>
      </c>
      <c r="J48" s="243" t="s">
        <v>367</v>
      </c>
      <c r="K48" s="243"/>
      <c r="L48" s="243"/>
      <c r="M48" s="243"/>
      <c r="N48" s="243"/>
      <c r="O48" s="243"/>
      <c r="P48" s="244"/>
    </row>
    <row r="49" spans="2:16" ht="15" x14ac:dyDescent="0.25">
      <c r="B49" s="17">
        <f t="shared" si="0"/>
        <v>7</v>
      </c>
      <c r="C49" s="223" t="s">
        <v>253</v>
      </c>
      <c r="D49" s="45"/>
      <c r="E49" s="236">
        <f>PS!C33</f>
        <v>0</v>
      </c>
      <c r="F49" s="236">
        <f>PS!D33</f>
        <v>0</v>
      </c>
      <c r="G49" s="236">
        <f>PS!E33</f>
        <v>0</v>
      </c>
      <c r="H49" s="230" t="s">
        <v>308</v>
      </c>
      <c r="I49" s="46">
        <v>4</v>
      </c>
      <c r="J49" s="243" t="s">
        <v>368</v>
      </c>
      <c r="K49" s="243"/>
      <c r="L49" s="243"/>
      <c r="M49" s="243"/>
      <c r="N49" s="243"/>
      <c r="O49" s="243"/>
      <c r="P49" s="244"/>
    </row>
    <row r="50" spans="2:16" ht="15" x14ac:dyDescent="0.25">
      <c r="B50" s="17">
        <f t="shared" si="0"/>
        <v>7</v>
      </c>
      <c r="C50" s="223" t="s">
        <v>254</v>
      </c>
      <c r="D50" s="45"/>
      <c r="E50" s="236">
        <f>PS!C34</f>
        <v>0</v>
      </c>
      <c r="F50" s="236">
        <f>PS!D34</f>
        <v>0</v>
      </c>
      <c r="G50" s="236">
        <f>PS!E34</f>
        <v>0</v>
      </c>
      <c r="H50" s="230" t="s">
        <v>308</v>
      </c>
      <c r="I50" s="46">
        <v>4</v>
      </c>
      <c r="J50" s="243" t="s">
        <v>369</v>
      </c>
      <c r="K50" s="243"/>
      <c r="L50" s="243"/>
      <c r="M50" s="243"/>
      <c r="N50" s="243"/>
      <c r="O50" s="243"/>
      <c r="P50" s="244"/>
    </row>
    <row r="51" spans="2:16" ht="15" x14ac:dyDescent="0.25">
      <c r="B51" s="17">
        <f t="shared" si="0"/>
        <v>8</v>
      </c>
      <c r="C51" s="223" t="s">
        <v>255</v>
      </c>
      <c r="D51" s="45"/>
      <c r="E51" s="236">
        <f>PS!C35</f>
        <v>0</v>
      </c>
      <c r="F51" s="236">
        <f>PS!D35</f>
        <v>0</v>
      </c>
      <c r="G51" s="236">
        <f>PS!E35</f>
        <v>0</v>
      </c>
      <c r="H51" s="230" t="s">
        <v>308</v>
      </c>
      <c r="I51" s="46">
        <v>4</v>
      </c>
      <c r="J51" s="243" t="s">
        <v>370</v>
      </c>
      <c r="K51" s="243"/>
      <c r="L51" s="243"/>
      <c r="M51" s="243"/>
      <c r="N51" s="243"/>
      <c r="O51" s="243"/>
      <c r="P51" s="244"/>
    </row>
    <row r="52" spans="2:16" ht="15" x14ac:dyDescent="0.25">
      <c r="B52" s="17">
        <f t="shared" si="0"/>
        <v>8</v>
      </c>
      <c r="C52" s="223" t="s">
        <v>256</v>
      </c>
      <c r="D52" s="45"/>
      <c r="E52" s="236">
        <f>PS!C36</f>
        <v>0</v>
      </c>
      <c r="F52" s="236">
        <f>PS!D36</f>
        <v>0</v>
      </c>
      <c r="G52" s="236">
        <f>PS!E36</f>
        <v>0</v>
      </c>
      <c r="H52" s="230" t="s">
        <v>308</v>
      </c>
      <c r="I52" s="46">
        <v>4</v>
      </c>
      <c r="J52" s="243" t="s">
        <v>371</v>
      </c>
      <c r="K52" s="243"/>
      <c r="L52" s="243"/>
      <c r="M52" s="243"/>
      <c r="N52" s="243"/>
      <c r="O52" s="243"/>
      <c r="P52" s="244"/>
    </row>
    <row r="53" spans="2:16" ht="15" x14ac:dyDescent="0.25">
      <c r="B53" s="17">
        <f t="shared" si="0"/>
        <v>11</v>
      </c>
      <c r="C53" s="223" t="s">
        <v>257</v>
      </c>
      <c r="D53" s="45"/>
      <c r="E53" s="236">
        <f>PS!C37</f>
        <v>0</v>
      </c>
      <c r="F53" s="236">
        <f>PS!D37</f>
        <v>0</v>
      </c>
      <c r="G53" s="236">
        <f>PS!E37</f>
        <v>0</v>
      </c>
      <c r="H53" s="230" t="s">
        <v>308</v>
      </c>
      <c r="I53" s="46">
        <v>4</v>
      </c>
      <c r="J53" s="243" t="s">
        <v>372</v>
      </c>
      <c r="K53" s="243"/>
      <c r="L53" s="243"/>
      <c r="M53" s="243"/>
      <c r="N53" s="243"/>
      <c r="O53" s="243"/>
      <c r="P53" s="244"/>
    </row>
    <row r="54" spans="2:16" ht="15" x14ac:dyDescent="0.25">
      <c r="B54" s="17">
        <f t="shared" si="0"/>
        <v>8</v>
      </c>
      <c r="C54" s="223" t="s">
        <v>258</v>
      </c>
      <c r="D54" s="45"/>
      <c r="E54" s="236">
        <f>PS!C38</f>
        <v>0</v>
      </c>
      <c r="F54" s="236">
        <f>PS!D38</f>
        <v>0</v>
      </c>
      <c r="G54" s="236">
        <f>PS!E38</f>
        <v>0</v>
      </c>
      <c r="H54" s="230" t="s">
        <v>308</v>
      </c>
      <c r="I54" s="46">
        <v>4</v>
      </c>
      <c r="J54" s="243" t="s">
        <v>373</v>
      </c>
      <c r="K54" s="243"/>
      <c r="L54" s="243"/>
      <c r="M54" s="243"/>
      <c r="N54" s="243"/>
      <c r="O54" s="243"/>
      <c r="P54" s="244"/>
    </row>
    <row r="55" spans="2:16" ht="15" x14ac:dyDescent="0.25">
      <c r="B55" s="17">
        <f t="shared" si="0"/>
        <v>8</v>
      </c>
      <c r="C55" s="223" t="s">
        <v>259</v>
      </c>
      <c r="D55" s="45"/>
      <c r="E55" s="236">
        <f>PS!C39</f>
        <v>0</v>
      </c>
      <c r="F55" s="236">
        <f>PS!D39</f>
        <v>0</v>
      </c>
      <c r="G55" s="236">
        <f>PS!E39</f>
        <v>0</v>
      </c>
      <c r="H55" s="230" t="s">
        <v>308</v>
      </c>
      <c r="I55" s="46">
        <v>4</v>
      </c>
      <c r="J55" s="243" t="s">
        <v>374</v>
      </c>
      <c r="K55" s="243"/>
      <c r="L55" s="243"/>
      <c r="M55" s="243"/>
      <c r="N55" s="243"/>
      <c r="O55" s="243"/>
      <c r="P55" s="244"/>
    </row>
    <row r="56" spans="2:16" ht="15" x14ac:dyDescent="0.25">
      <c r="B56" s="17">
        <f t="shared" si="0"/>
        <v>7</v>
      </c>
      <c r="C56" s="223" t="s">
        <v>260</v>
      </c>
      <c r="D56" s="45"/>
      <c r="E56" s="236">
        <f>PS!C40</f>
        <v>9963.7315191146899</v>
      </c>
      <c r="F56" s="236">
        <f>PS!D40</f>
        <v>8957.4766984644593</v>
      </c>
      <c r="G56" s="236">
        <f>PS!E40</f>
        <v>10969.986339764901</v>
      </c>
      <c r="H56" s="230" t="s">
        <v>308</v>
      </c>
      <c r="I56" s="46">
        <v>4</v>
      </c>
      <c r="J56" s="243" t="s">
        <v>375</v>
      </c>
      <c r="K56" s="243"/>
      <c r="L56" s="243"/>
      <c r="M56" s="243"/>
      <c r="N56" s="243"/>
      <c r="O56" s="243"/>
      <c r="P56" s="244"/>
    </row>
    <row r="57" spans="2:16" ht="15" x14ac:dyDescent="0.25">
      <c r="B57" s="17">
        <f t="shared" si="0"/>
        <v>7</v>
      </c>
      <c r="C57" s="223" t="s">
        <v>261</v>
      </c>
      <c r="D57" s="45"/>
      <c r="E57" s="236">
        <f>PS!C41</f>
        <v>0</v>
      </c>
      <c r="F57" s="236">
        <f>PS!D41</f>
        <v>0</v>
      </c>
      <c r="G57" s="236">
        <f>PS!E41</f>
        <v>0</v>
      </c>
      <c r="H57" s="230" t="s">
        <v>308</v>
      </c>
      <c r="I57" s="46">
        <v>4</v>
      </c>
      <c r="J57" s="243" t="s">
        <v>376</v>
      </c>
      <c r="K57" s="243"/>
      <c r="L57" s="243"/>
      <c r="M57" s="243"/>
      <c r="N57" s="243"/>
      <c r="O57" s="243"/>
      <c r="P57" s="244"/>
    </row>
    <row r="58" spans="2:16" ht="15" x14ac:dyDescent="0.25">
      <c r="B58" s="17">
        <f t="shared" si="0"/>
        <v>8</v>
      </c>
      <c r="C58" s="223" t="s">
        <v>262</v>
      </c>
      <c r="D58" s="45"/>
      <c r="E58" s="236">
        <f>PS!C42</f>
        <v>0</v>
      </c>
      <c r="F58" s="236">
        <f>PS!D42</f>
        <v>0</v>
      </c>
      <c r="G58" s="236">
        <f>PS!E42</f>
        <v>0</v>
      </c>
      <c r="H58" s="230" t="s">
        <v>308</v>
      </c>
      <c r="I58" s="46">
        <v>4</v>
      </c>
      <c r="J58" s="243" t="s">
        <v>377</v>
      </c>
      <c r="K58" s="243"/>
      <c r="L58" s="243"/>
      <c r="M58" s="243"/>
      <c r="N58" s="243"/>
      <c r="O58" s="243"/>
      <c r="P58" s="244"/>
    </row>
    <row r="59" spans="2:16" ht="15" x14ac:dyDescent="0.25">
      <c r="B59" s="17">
        <f t="shared" si="0"/>
        <v>7</v>
      </c>
      <c r="C59" s="223" t="s">
        <v>263</v>
      </c>
      <c r="D59" s="45"/>
      <c r="E59" s="236">
        <f>PS!C43</f>
        <v>0</v>
      </c>
      <c r="F59" s="236">
        <f>PS!D43</f>
        <v>0</v>
      </c>
      <c r="G59" s="236">
        <f>PS!E43</f>
        <v>0</v>
      </c>
      <c r="H59" s="230" t="s">
        <v>308</v>
      </c>
      <c r="I59" s="46">
        <v>4</v>
      </c>
      <c r="J59" s="243" t="s">
        <v>378</v>
      </c>
      <c r="K59" s="243"/>
      <c r="L59" s="243"/>
      <c r="M59" s="243"/>
      <c r="N59" s="243"/>
      <c r="O59" s="243"/>
      <c r="P59" s="244"/>
    </row>
    <row r="60" spans="2:16" ht="15" x14ac:dyDescent="0.25">
      <c r="B60" s="17">
        <f t="shared" si="0"/>
        <v>6</v>
      </c>
      <c r="C60" s="223" t="s">
        <v>264</v>
      </c>
      <c r="D60" s="45"/>
      <c r="E60" s="236">
        <f>PS!C44</f>
        <v>0</v>
      </c>
      <c r="F60" s="236">
        <f>PS!D44</f>
        <v>0</v>
      </c>
      <c r="G60" s="236">
        <f>PS!E44</f>
        <v>0</v>
      </c>
      <c r="H60" s="230" t="s">
        <v>308</v>
      </c>
      <c r="I60" s="46">
        <v>4</v>
      </c>
      <c r="J60" s="243" t="s">
        <v>379</v>
      </c>
      <c r="K60" s="243"/>
      <c r="L60" s="243"/>
      <c r="M60" s="243"/>
      <c r="N60" s="243"/>
      <c r="O60" s="243"/>
      <c r="P60" s="244"/>
    </row>
    <row r="61" spans="2:16" ht="15" x14ac:dyDescent="0.25">
      <c r="B61" s="17">
        <f t="shared" si="0"/>
        <v>8</v>
      </c>
      <c r="C61" s="223" t="s">
        <v>265</v>
      </c>
      <c r="D61" s="45"/>
      <c r="E61" s="236">
        <f>PS!C45</f>
        <v>0</v>
      </c>
      <c r="F61" s="236">
        <f>PS!D45</f>
        <v>0</v>
      </c>
      <c r="G61" s="236">
        <f>PS!E45</f>
        <v>0</v>
      </c>
      <c r="H61" s="230" t="s">
        <v>308</v>
      </c>
      <c r="I61" s="46">
        <v>4</v>
      </c>
      <c r="J61" s="243" t="s">
        <v>380</v>
      </c>
      <c r="K61" s="243"/>
      <c r="L61" s="243"/>
      <c r="M61" s="243"/>
      <c r="N61" s="243"/>
      <c r="O61" s="243"/>
      <c r="P61" s="244"/>
    </row>
    <row r="62" spans="2:16" ht="15" x14ac:dyDescent="0.25">
      <c r="B62" s="17">
        <f t="shared" si="0"/>
        <v>8</v>
      </c>
      <c r="C62" s="223" t="s">
        <v>266</v>
      </c>
      <c r="D62" s="45"/>
      <c r="E62" s="236">
        <f>PS!C46</f>
        <v>791.38416666666603</v>
      </c>
      <c r="F62" s="236">
        <f>PS!D46</f>
        <v>689.87160670067794</v>
      </c>
      <c r="G62" s="236">
        <f>PS!E46</f>
        <v>892.89672655000004</v>
      </c>
      <c r="H62" s="230" t="s">
        <v>308</v>
      </c>
      <c r="I62" s="46">
        <v>4</v>
      </c>
      <c r="J62" s="243" t="s">
        <v>381</v>
      </c>
      <c r="K62" s="243"/>
      <c r="L62" s="243"/>
      <c r="M62" s="243"/>
      <c r="N62" s="243"/>
      <c r="O62" s="243"/>
      <c r="P62" s="244"/>
    </row>
    <row r="63" spans="2:16" ht="15" x14ac:dyDescent="0.25">
      <c r="B63" s="17">
        <f t="shared" si="0"/>
        <v>7</v>
      </c>
      <c r="C63" s="223" t="s">
        <v>267</v>
      </c>
      <c r="D63" s="45"/>
      <c r="E63" s="236">
        <f>PS!C47</f>
        <v>0</v>
      </c>
      <c r="F63" s="236">
        <f>PS!D47</f>
        <v>0</v>
      </c>
      <c r="G63" s="236">
        <f>PS!E47</f>
        <v>0</v>
      </c>
      <c r="H63" s="230" t="s">
        <v>308</v>
      </c>
      <c r="I63" s="46">
        <v>4</v>
      </c>
      <c r="J63" s="243" t="s">
        <v>382</v>
      </c>
      <c r="K63" s="243"/>
      <c r="L63" s="243"/>
      <c r="M63" s="243"/>
      <c r="N63" s="243"/>
      <c r="O63" s="243"/>
      <c r="P63" s="244"/>
    </row>
    <row r="64" spans="2:16" ht="15" x14ac:dyDescent="0.25">
      <c r="B64" s="17">
        <f t="shared" si="0"/>
        <v>7</v>
      </c>
      <c r="C64" s="223" t="s">
        <v>268</v>
      </c>
      <c r="D64" s="45"/>
      <c r="E64" s="236">
        <f>PS!C48</f>
        <v>0</v>
      </c>
      <c r="F64" s="236">
        <f>PS!D48</f>
        <v>0</v>
      </c>
      <c r="G64" s="236">
        <f>PS!E48</f>
        <v>0</v>
      </c>
      <c r="H64" s="230" t="s">
        <v>308</v>
      </c>
      <c r="I64" s="46">
        <v>4</v>
      </c>
      <c r="J64" s="243" t="s">
        <v>383</v>
      </c>
      <c r="K64" s="243"/>
      <c r="L64" s="243"/>
      <c r="M64" s="243"/>
      <c r="N64" s="243"/>
      <c r="O64" s="243"/>
      <c r="P64" s="244"/>
    </row>
    <row r="65" spans="2:16" ht="15" x14ac:dyDescent="0.25">
      <c r="B65" s="17">
        <f t="shared" si="0"/>
        <v>7</v>
      </c>
      <c r="C65" s="224" t="s">
        <v>269</v>
      </c>
      <c r="D65" s="45"/>
      <c r="E65" s="236">
        <f>PS!C49</f>
        <v>0</v>
      </c>
      <c r="F65" s="236">
        <f>PS!D49</f>
        <v>0</v>
      </c>
      <c r="G65" s="236">
        <f>PS!E49</f>
        <v>0</v>
      </c>
      <c r="H65" s="230" t="s">
        <v>308</v>
      </c>
      <c r="I65" s="46">
        <v>4</v>
      </c>
      <c r="J65" s="243" t="s">
        <v>384</v>
      </c>
      <c r="K65" s="243"/>
      <c r="L65" s="243"/>
      <c r="M65" s="243"/>
      <c r="N65" s="243"/>
      <c r="O65" s="243"/>
      <c r="P65" s="244"/>
    </row>
    <row r="66" spans="2:16" ht="15" x14ac:dyDescent="0.25">
      <c r="B66" s="17">
        <f t="shared" si="0"/>
        <v>7</v>
      </c>
      <c r="C66" s="223" t="s">
        <v>270</v>
      </c>
      <c r="D66" s="45"/>
      <c r="E66" s="236">
        <f>PS!C50</f>
        <v>0</v>
      </c>
      <c r="F66" s="236">
        <f>PS!D50</f>
        <v>0</v>
      </c>
      <c r="G66" s="236">
        <f>PS!E50</f>
        <v>0</v>
      </c>
      <c r="H66" s="230" t="s">
        <v>308</v>
      </c>
      <c r="I66" s="46">
        <v>4</v>
      </c>
      <c r="J66" s="243" t="s">
        <v>385</v>
      </c>
      <c r="K66" s="243"/>
      <c r="L66" s="243"/>
      <c r="M66" s="243"/>
      <c r="N66" s="243"/>
      <c r="O66" s="243"/>
      <c r="P66" s="244"/>
    </row>
    <row r="67" spans="2:16" ht="15" x14ac:dyDescent="0.25">
      <c r="B67" s="17">
        <f t="shared" si="0"/>
        <v>7</v>
      </c>
      <c r="C67" s="223" t="s">
        <v>271</v>
      </c>
      <c r="D67" s="45"/>
      <c r="E67" s="236">
        <f>PS!C51</f>
        <v>0</v>
      </c>
      <c r="F67" s="236">
        <f>PS!D51</f>
        <v>0</v>
      </c>
      <c r="G67" s="236">
        <f>PS!E51</f>
        <v>0</v>
      </c>
      <c r="H67" s="230" t="s">
        <v>308</v>
      </c>
      <c r="I67" s="46">
        <v>4</v>
      </c>
      <c r="J67" s="243" t="s">
        <v>386</v>
      </c>
      <c r="K67" s="243"/>
      <c r="L67" s="243"/>
      <c r="M67" s="243"/>
      <c r="N67" s="243"/>
      <c r="O67" s="243"/>
      <c r="P67" s="244"/>
    </row>
    <row r="68" spans="2:16" ht="15" x14ac:dyDescent="0.25">
      <c r="B68" s="17">
        <f t="shared" si="0"/>
        <v>7</v>
      </c>
      <c r="C68" s="223" t="s">
        <v>272</v>
      </c>
      <c r="D68" s="45"/>
      <c r="E68" s="236">
        <f>PS!C52</f>
        <v>0</v>
      </c>
      <c r="F68" s="236">
        <f>PS!D52</f>
        <v>0</v>
      </c>
      <c r="G68" s="236">
        <f>PS!E52</f>
        <v>0</v>
      </c>
      <c r="H68" s="230" t="s">
        <v>308</v>
      </c>
      <c r="I68" s="46">
        <v>4</v>
      </c>
      <c r="J68" s="243" t="s">
        <v>387</v>
      </c>
      <c r="K68" s="243"/>
      <c r="L68" s="243"/>
      <c r="M68" s="243"/>
      <c r="N68" s="243"/>
      <c r="O68" s="243"/>
      <c r="P68" s="244"/>
    </row>
    <row r="69" spans="2:16" ht="15" x14ac:dyDescent="0.25">
      <c r="B69" s="17">
        <f t="shared" si="0"/>
        <v>7</v>
      </c>
      <c r="C69" s="223" t="s">
        <v>273</v>
      </c>
      <c r="D69" s="45"/>
      <c r="E69" s="236">
        <f>PS!C53</f>
        <v>0</v>
      </c>
      <c r="F69" s="236">
        <f>PS!D53</f>
        <v>0</v>
      </c>
      <c r="G69" s="236">
        <f>PS!E53</f>
        <v>0</v>
      </c>
      <c r="H69" s="230" t="s">
        <v>308</v>
      </c>
      <c r="I69" s="46">
        <v>4</v>
      </c>
      <c r="J69" s="243" t="s">
        <v>388</v>
      </c>
      <c r="K69" s="243"/>
      <c r="L69" s="243"/>
      <c r="M69" s="243"/>
      <c r="N69" s="243"/>
      <c r="O69" s="243"/>
      <c r="P69" s="244"/>
    </row>
    <row r="70" spans="2:16" ht="15" x14ac:dyDescent="0.25">
      <c r="B70" s="17">
        <f t="shared" si="0"/>
        <v>7</v>
      </c>
      <c r="C70" s="223" t="s">
        <v>274</v>
      </c>
      <c r="D70" s="45"/>
      <c r="E70" s="236">
        <f>PS!C54</f>
        <v>0</v>
      </c>
      <c r="F70" s="236">
        <f>PS!D54</f>
        <v>0</v>
      </c>
      <c r="G70" s="236">
        <f>PS!E54</f>
        <v>0</v>
      </c>
      <c r="H70" s="230" t="s">
        <v>308</v>
      </c>
      <c r="I70" s="46">
        <v>4</v>
      </c>
      <c r="J70" s="243" t="s">
        <v>389</v>
      </c>
      <c r="K70" s="243"/>
      <c r="L70" s="243"/>
      <c r="M70" s="243"/>
      <c r="N70" s="243"/>
      <c r="O70" s="243"/>
      <c r="P70" s="244"/>
    </row>
    <row r="71" spans="2:16" ht="15" x14ac:dyDescent="0.25">
      <c r="B71" s="17">
        <f t="shared" si="0"/>
        <v>12</v>
      </c>
      <c r="C71" s="223" t="s">
        <v>275</v>
      </c>
      <c r="D71" s="45"/>
      <c r="E71" s="236">
        <f>PS!C55</f>
        <v>0</v>
      </c>
      <c r="F71" s="236">
        <f>PS!D55</f>
        <v>0</v>
      </c>
      <c r="G71" s="236">
        <f>PS!E55</f>
        <v>0</v>
      </c>
      <c r="H71" s="230" t="s">
        <v>308</v>
      </c>
      <c r="I71" s="46">
        <v>4</v>
      </c>
      <c r="J71" s="243" t="s">
        <v>390</v>
      </c>
      <c r="K71" s="243"/>
      <c r="L71" s="243"/>
      <c r="M71" s="243"/>
      <c r="N71" s="243"/>
      <c r="O71" s="243"/>
      <c r="P71" s="244"/>
    </row>
    <row r="72" spans="2:16" ht="15" x14ac:dyDescent="0.25">
      <c r="B72" s="17">
        <f t="shared" si="0"/>
        <v>12</v>
      </c>
      <c r="C72" s="223" t="s">
        <v>276</v>
      </c>
      <c r="D72" s="45"/>
      <c r="E72" s="236">
        <f>PS!C56</f>
        <v>0</v>
      </c>
      <c r="F72" s="236">
        <f>PS!D56</f>
        <v>0</v>
      </c>
      <c r="G72" s="236">
        <f>PS!E56</f>
        <v>0</v>
      </c>
      <c r="H72" s="230" t="s">
        <v>308</v>
      </c>
      <c r="I72" s="46">
        <v>4</v>
      </c>
      <c r="J72" s="243" t="s">
        <v>391</v>
      </c>
      <c r="K72" s="243"/>
      <c r="L72" s="243"/>
      <c r="M72" s="243"/>
      <c r="N72" s="243"/>
      <c r="O72" s="243"/>
      <c r="P72" s="244"/>
    </row>
    <row r="73" spans="2:16" ht="15" x14ac:dyDescent="0.25">
      <c r="B73" s="17">
        <f t="shared" si="0"/>
        <v>8</v>
      </c>
      <c r="C73" s="223" t="s">
        <v>277</v>
      </c>
      <c r="D73" s="45"/>
      <c r="E73" s="236">
        <f>PS!C57</f>
        <v>0</v>
      </c>
      <c r="F73" s="236">
        <f>PS!D57</f>
        <v>0</v>
      </c>
      <c r="G73" s="236">
        <f>PS!E57</f>
        <v>0</v>
      </c>
      <c r="H73" s="230" t="s">
        <v>308</v>
      </c>
      <c r="I73" s="46">
        <v>4</v>
      </c>
      <c r="J73" s="243" t="s">
        <v>392</v>
      </c>
      <c r="K73" s="243"/>
      <c r="L73" s="243"/>
      <c r="M73" s="243"/>
      <c r="N73" s="243"/>
      <c r="O73" s="243"/>
      <c r="P73" s="244"/>
    </row>
    <row r="74" spans="2:16" ht="15" x14ac:dyDescent="0.25">
      <c r="B74" s="17">
        <f t="shared" si="0"/>
        <v>7</v>
      </c>
      <c r="C74" s="223" t="s">
        <v>278</v>
      </c>
      <c r="D74" s="45"/>
      <c r="E74" s="236">
        <f>PS!C58</f>
        <v>0</v>
      </c>
      <c r="F74" s="236">
        <f>PS!D58</f>
        <v>0</v>
      </c>
      <c r="G74" s="236">
        <f>PS!E58</f>
        <v>0</v>
      </c>
      <c r="H74" s="230" t="s">
        <v>308</v>
      </c>
      <c r="I74" s="46">
        <v>4</v>
      </c>
      <c r="J74" s="243" t="s">
        <v>393</v>
      </c>
      <c r="K74" s="243"/>
      <c r="L74" s="243"/>
      <c r="M74" s="243"/>
      <c r="N74" s="243"/>
      <c r="O74" s="243"/>
      <c r="P74" s="244"/>
    </row>
    <row r="75" spans="2:16" ht="15" x14ac:dyDescent="0.25">
      <c r="B75" s="17">
        <f t="shared" si="0"/>
        <v>12</v>
      </c>
      <c r="C75" s="223" t="s">
        <v>279</v>
      </c>
      <c r="D75" s="45"/>
      <c r="E75" s="236">
        <f>PS!C59</f>
        <v>0</v>
      </c>
      <c r="F75" s="236">
        <f>PS!D59</f>
        <v>0</v>
      </c>
      <c r="G75" s="236">
        <f>PS!E59</f>
        <v>0</v>
      </c>
      <c r="H75" s="230" t="s">
        <v>308</v>
      </c>
      <c r="I75" s="46">
        <v>4</v>
      </c>
      <c r="J75" s="243" t="s">
        <v>394</v>
      </c>
      <c r="K75" s="243"/>
      <c r="L75" s="243"/>
      <c r="M75" s="243"/>
      <c r="N75" s="243"/>
      <c r="O75" s="243"/>
      <c r="P75" s="244"/>
    </row>
    <row r="76" spans="2:16" ht="15" x14ac:dyDescent="0.25">
      <c r="B76" s="17">
        <f t="shared" si="0"/>
        <v>13</v>
      </c>
      <c r="C76" s="223" t="s">
        <v>280</v>
      </c>
      <c r="D76" s="45"/>
      <c r="E76" s="236">
        <f>PS!C60</f>
        <v>0</v>
      </c>
      <c r="F76" s="236">
        <f>PS!D60</f>
        <v>0</v>
      </c>
      <c r="G76" s="236">
        <f>PS!E60</f>
        <v>0</v>
      </c>
      <c r="H76" s="230" t="s">
        <v>308</v>
      </c>
      <c r="I76" s="46">
        <v>4</v>
      </c>
      <c r="J76" s="243" t="s">
        <v>395</v>
      </c>
      <c r="K76" s="243"/>
      <c r="L76" s="243"/>
      <c r="M76" s="243"/>
      <c r="N76" s="243"/>
      <c r="O76" s="243"/>
      <c r="P76" s="244"/>
    </row>
    <row r="77" spans="2:16" ht="15" x14ac:dyDescent="0.25">
      <c r="B77" s="17">
        <f t="shared" si="0"/>
        <v>10</v>
      </c>
      <c r="C77" s="223" t="s">
        <v>281</v>
      </c>
      <c r="D77" s="45"/>
      <c r="E77" s="236">
        <f>PS!C61</f>
        <v>0</v>
      </c>
      <c r="F77" s="236">
        <f>PS!D61</f>
        <v>0</v>
      </c>
      <c r="G77" s="236">
        <f>PS!E61</f>
        <v>0</v>
      </c>
      <c r="H77" s="230" t="s">
        <v>308</v>
      </c>
      <c r="I77" s="46">
        <v>4</v>
      </c>
      <c r="J77" s="243" t="s">
        <v>396</v>
      </c>
      <c r="K77" s="243"/>
      <c r="L77" s="243"/>
      <c r="M77" s="243"/>
      <c r="N77" s="243"/>
      <c r="O77" s="243"/>
      <c r="P77" s="244"/>
    </row>
    <row r="78" spans="2:16" ht="15" x14ac:dyDescent="0.25">
      <c r="B78" s="17">
        <f t="shared" si="0"/>
        <v>10</v>
      </c>
      <c r="C78" s="223" t="s">
        <v>282</v>
      </c>
      <c r="D78" s="45"/>
      <c r="E78" s="236">
        <f>PS!C62</f>
        <v>0</v>
      </c>
      <c r="F78" s="236">
        <f>PS!D62</f>
        <v>0</v>
      </c>
      <c r="G78" s="236">
        <f>PS!E62</f>
        <v>0</v>
      </c>
      <c r="H78" s="230" t="s">
        <v>308</v>
      </c>
      <c r="I78" s="46">
        <v>4</v>
      </c>
      <c r="J78" s="243" t="s">
        <v>397</v>
      </c>
      <c r="K78" s="243"/>
      <c r="L78" s="243"/>
      <c r="M78" s="243"/>
      <c r="N78" s="243"/>
      <c r="O78" s="243"/>
      <c r="P78" s="244"/>
    </row>
    <row r="79" spans="2:16" ht="15" x14ac:dyDescent="0.25">
      <c r="B79" s="17">
        <f t="shared" si="0"/>
        <v>12</v>
      </c>
      <c r="C79" s="223" t="s">
        <v>324</v>
      </c>
      <c r="D79" s="45"/>
      <c r="E79" s="236">
        <f>PS!C63</f>
        <v>0</v>
      </c>
      <c r="F79" s="236">
        <f>PS!D63</f>
        <v>0</v>
      </c>
      <c r="G79" s="236">
        <f>PS!E63</f>
        <v>0</v>
      </c>
      <c r="H79" s="230" t="s">
        <v>308</v>
      </c>
      <c r="I79" s="46">
        <v>4</v>
      </c>
      <c r="J79" s="243" t="s">
        <v>398</v>
      </c>
      <c r="K79" s="243"/>
      <c r="L79" s="243"/>
      <c r="M79" s="243"/>
      <c r="N79" s="243"/>
      <c r="O79" s="243"/>
      <c r="P79" s="244"/>
    </row>
    <row r="80" spans="2:16" ht="15" x14ac:dyDescent="0.25">
      <c r="B80" s="17">
        <f t="shared" si="0"/>
        <v>11</v>
      </c>
      <c r="C80" s="223" t="s">
        <v>325</v>
      </c>
      <c r="D80" s="45"/>
      <c r="E80" s="236">
        <f>PS!C64</f>
        <v>0</v>
      </c>
      <c r="F80" s="236">
        <f>PS!D64</f>
        <v>0</v>
      </c>
      <c r="G80" s="236">
        <f>PS!E64</f>
        <v>0</v>
      </c>
      <c r="H80" s="230" t="s">
        <v>308</v>
      </c>
      <c r="I80" s="46">
        <v>4</v>
      </c>
      <c r="J80" s="243" t="s">
        <v>399</v>
      </c>
      <c r="K80" s="243"/>
      <c r="L80" s="243"/>
      <c r="M80" s="243"/>
      <c r="N80" s="243"/>
      <c r="O80" s="243"/>
      <c r="P80" s="244"/>
    </row>
    <row r="81" spans="2:16" ht="15" x14ac:dyDescent="0.25">
      <c r="B81" s="17">
        <f t="shared" si="0"/>
        <v>8</v>
      </c>
      <c r="C81" s="223" t="s">
        <v>326</v>
      </c>
      <c r="D81" s="45"/>
      <c r="E81" s="236">
        <f>PS!C65</f>
        <v>0</v>
      </c>
      <c r="F81" s="236">
        <f>PS!D65</f>
        <v>0</v>
      </c>
      <c r="G81" s="236">
        <f>PS!E65</f>
        <v>0</v>
      </c>
      <c r="H81" s="230" t="s">
        <v>308</v>
      </c>
      <c r="I81" s="46">
        <v>4</v>
      </c>
      <c r="J81" s="243" t="s">
        <v>400</v>
      </c>
      <c r="K81" s="243"/>
      <c r="L81" s="243"/>
      <c r="M81" s="243"/>
      <c r="N81" s="243"/>
      <c r="O81" s="243"/>
      <c r="P81" s="244"/>
    </row>
    <row r="82" spans="2:16" ht="15" x14ac:dyDescent="0.25">
      <c r="B82" s="17">
        <f t="shared" si="0"/>
        <v>10</v>
      </c>
      <c r="C82" s="223" t="s">
        <v>607</v>
      </c>
      <c r="D82" s="45"/>
      <c r="E82" s="236">
        <v>0.05</v>
      </c>
      <c r="F82" s="236">
        <v>0.01</v>
      </c>
      <c r="G82" s="236">
        <v>0.1</v>
      </c>
      <c r="H82" s="253" t="s">
        <v>612</v>
      </c>
      <c r="I82" s="46">
        <v>6</v>
      </c>
      <c r="J82" s="249" t="s">
        <v>615</v>
      </c>
      <c r="K82" s="249"/>
      <c r="L82" s="249"/>
      <c r="M82" s="249"/>
      <c r="N82" s="249"/>
      <c r="O82" s="249"/>
      <c r="P82" s="250"/>
    </row>
    <row r="83" spans="2:16" ht="15" x14ac:dyDescent="0.25">
      <c r="B83" s="17"/>
      <c r="C83" s="223" t="s">
        <v>608</v>
      </c>
      <c r="D83" s="45"/>
      <c r="E83" s="236">
        <v>0.65</v>
      </c>
      <c r="F83" s="236">
        <v>0.65</v>
      </c>
      <c r="G83" s="236">
        <v>0.65</v>
      </c>
      <c r="H83" s="253" t="s">
        <v>612</v>
      </c>
      <c r="I83" s="46">
        <v>6</v>
      </c>
      <c r="J83" s="249" t="s">
        <v>616</v>
      </c>
      <c r="K83" s="249"/>
      <c r="L83" s="249"/>
      <c r="M83" s="249"/>
      <c r="N83" s="249"/>
      <c r="O83" s="249"/>
      <c r="P83" s="250"/>
    </row>
    <row r="84" spans="2:16" ht="15" x14ac:dyDescent="0.25">
      <c r="B84" s="17"/>
      <c r="C84" s="223" t="s">
        <v>609</v>
      </c>
      <c r="D84" s="45"/>
      <c r="E84" s="236">
        <v>0.97</v>
      </c>
      <c r="F84" s="236">
        <v>0.97</v>
      </c>
      <c r="G84" s="236">
        <v>0.97</v>
      </c>
      <c r="H84" s="253" t="s">
        <v>613</v>
      </c>
      <c r="I84" s="46">
        <v>6</v>
      </c>
      <c r="J84" s="249" t="s">
        <v>617</v>
      </c>
      <c r="K84" s="249"/>
      <c r="L84" s="249"/>
      <c r="M84" s="249"/>
      <c r="N84" s="249"/>
      <c r="O84" s="249"/>
      <c r="P84" s="250"/>
    </row>
    <row r="85" spans="2:16" ht="15" x14ac:dyDescent="0.25">
      <c r="B85" s="17"/>
      <c r="C85" s="223" t="s">
        <v>610</v>
      </c>
      <c r="D85" s="45"/>
      <c r="E85" s="236">
        <v>0.11</v>
      </c>
      <c r="F85" s="236">
        <v>0.11</v>
      </c>
      <c r="G85" s="236">
        <v>0.11</v>
      </c>
      <c r="H85" s="253" t="s">
        <v>613</v>
      </c>
      <c r="I85" s="46">
        <v>6</v>
      </c>
      <c r="J85" s="249" t="s">
        <v>618</v>
      </c>
      <c r="K85" s="249"/>
      <c r="L85" s="249"/>
      <c r="M85" s="249"/>
      <c r="N85" s="249"/>
      <c r="O85" s="249"/>
      <c r="P85" s="250"/>
    </row>
    <row r="86" spans="2:16" ht="15" x14ac:dyDescent="0.25">
      <c r="B86" s="17"/>
      <c r="C86" s="223" t="s">
        <v>611</v>
      </c>
      <c r="D86" s="45"/>
      <c r="E86" s="236">
        <v>3747.56</v>
      </c>
      <c r="F86" s="236">
        <v>151.416</v>
      </c>
      <c r="G86" s="236">
        <v>52995.764999999999</v>
      </c>
      <c r="H86" s="253" t="s">
        <v>881</v>
      </c>
      <c r="I86" s="46"/>
      <c r="J86" s="261"/>
      <c r="K86" s="261"/>
      <c r="L86" s="261"/>
      <c r="M86" s="261"/>
      <c r="N86" s="261"/>
      <c r="O86" s="261"/>
      <c r="P86" s="262"/>
    </row>
    <row r="87" spans="2:16" ht="15" x14ac:dyDescent="0.25">
      <c r="B87" s="17"/>
      <c r="C87" s="223" t="s">
        <v>880</v>
      </c>
      <c r="D87" s="45" t="s">
        <v>892</v>
      </c>
      <c r="E87" s="236">
        <f>E86*E97</f>
        <v>3685.2246541431759</v>
      </c>
      <c r="F87" s="236">
        <f t="shared" ref="F87" si="1">F86*F97</f>
        <v>148.89826209350002</v>
      </c>
      <c r="G87" s="236">
        <f>G86*G97</f>
        <v>52113.957720086757</v>
      </c>
      <c r="H87" s="253" t="s">
        <v>614</v>
      </c>
      <c r="I87" s="248" t="s">
        <v>1032</v>
      </c>
      <c r="J87" s="249" t="s">
        <v>619</v>
      </c>
      <c r="K87" s="249"/>
      <c r="L87" s="249"/>
      <c r="M87" s="249"/>
      <c r="N87" s="249"/>
      <c r="O87" s="249"/>
      <c r="P87" s="250"/>
    </row>
    <row r="88" spans="2:16" ht="15" x14ac:dyDescent="0.25">
      <c r="B88" s="17">
        <f t="shared" si="0"/>
        <v>16</v>
      </c>
      <c r="C88" s="223" t="s">
        <v>867</v>
      </c>
      <c r="D88" s="45"/>
      <c r="E88" s="236">
        <f>PS!C66</f>
        <v>390</v>
      </c>
      <c r="F88" s="236">
        <f>PS!D66</f>
        <v>15</v>
      </c>
      <c r="G88" s="236">
        <f>PS!E66</f>
        <v>8200</v>
      </c>
      <c r="H88" s="231" t="s">
        <v>309</v>
      </c>
      <c r="I88" s="46">
        <v>1</v>
      </c>
      <c r="J88" s="243" t="s">
        <v>401</v>
      </c>
      <c r="K88" s="243"/>
      <c r="L88" s="243"/>
      <c r="M88" s="243"/>
      <c r="N88" s="243"/>
      <c r="O88" s="243"/>
      <c r="P88" s="244"/>
    </row>
    <row r="89" spans="2:16" ht="15" x14ac:dyDescent="0.25">
      <c r="B89" s="17">
        <f t="shared" si="0"/>
        <v>28</v>
      </c>
      <c r="C89" s="223" t="s">
        <v>283</v>
      </c>
      <c r="D89" s="45"/>
      <c r="E89" s="236">
        <f>PS!C67</f>
        <v>0.95</v>
      </c>
      <c r="F89" s="236">
        <f>PS!D67</f>
        <v>0.95</v>
      </c>
      <c r="G89" s="236">
        <f>PS!E67</f>
        <v>0.95</v>
      </c>
      <c r="H89" s="232" t="s">
        <v>307</v>
      </c>
      <c r="I89" s="46">
        <v>1</v>
      </c>
      <c r="J89" s="243" t="s">
        <v>402</v>
      </c>
      <c r="K89" s="243"/>
      <c r="L89" s="243"/>
      <c r="M89" s="243"/>
      <c r="N89" s="243"/>
      <c r="O89" s="243"/>
      <c r="P89" s="244"/>
    </row>
    <row r="90" spans="2:16" ht="15" x14ac:dyDescent="0.25">
      <c r="B90" s="17">
        <f t="shared" si="0"/>
        <v>28</v>
      </c>
      <c r="C90" s="223" t="s">
        <v>284</v>
      </c>
      <c r="D90" s="45"/>
      <c r="E90" s="236">
        <f>PS!C68</f>
        <v>0.05</v>
      </c>
      <c r="F90" s="236">
        <f>PS!D68</f>
        <v>0.05</v>
      </c>
      <c r="G90" s="236">
        <f>PS!E68</f>
        <v>0.05</v>
      </c>
      <c r="H90" s="232" t="s">
        <v>307</v>
      </c>
      <c r="I90" s="46">
        <v>1</v>
      </c>
      <c r="J90" s="243" t="s">
        <v>403</v>
      </c>
      <c r="K90" s="243"/>
      <c r="L90" s="243"/>
      <c r="M90" s="243"/>
      <c r="N90" s="243"/>
      <c r="O90" s="243"/>
      <c r="P90" s="244"/>
    </row>
    <row r="91" spans="2:16" ht="15" x14ac:dyDescent="0.25">
      <c r="B91" s="17">
        <f t="shared" si="0"/>
        <v>27</v>
      </c>
      <c r="C91" s="223" t="s">
        <v>285</v>
      </c>
      <c r="D91" s="45"/>
      <c r="E91" s="236">
        <f>PS!C69</f>
        <v>0</v>
      </c>
      <c r="F91" s="236">
        <f>PS!D69</f>
        <v>0</v>
      </c>
      <c r="G91" s="236">
        <f>PS!E69</f>
        <v>0</v>
      </c>
      <c r="H91" s="232" t="s">
        <v>307</v>
      </c>
      <c r="I91" s="46">
        <v>1</v>
      </c>
      <c r="J91" s="243" t="s">
        <v>404</v>
      </c>
      <c r="K91" s="243"/>
      <c r="L91" s="243"/>
      <c r="M91" s="243"/>
      <c r="N91" s="243"/>
      <c r="O91" s="243"/>
      <c r="P91" s="244"/>
    </row>
    <row r="92" spans="2:16" ht="15" x14ac:dyDescent="0.25">
      <c r="B92" s="17">
        <f t="shared" si="0"/>
        <v>29</v>
      </c>
      <c r="C92" s="223" t="s">
        <v>286</v>
      </c>
      <c r="D92" s="45"/>
      <c r="E92" s="236">
        <f>PS!C70</f>
        <v>0</v>
      </c>
      <c r="F92" s="236">
        <f>PS!D70</f>
        <v>0</v>
      </c>
      <c r="G92" s="236">
        <f>PS!E70</f>
        <v>0</v>
      </c>
      <c r="H92" s="232" t="s">
        <v>307</v>
      </c>
      <c r="I92" s="46">
        <v>1</v>
      </c>
      <c r="J92" s="243" t="s">
        <v>405</v>
      </c>
      <c r="K92" s="243"/>
      <c r="L92" s="243"/>
      <c r="M92" s="243"/>
      <c r="N92" s="243"/>
      <c r="O92" s="243"/>
      <c r="P92" s="244"/>
    </row>
    <row r="93" spans="2:16" ht="15" x14ac:dyDescent="0.25">
      <c r="B93" s="17">
        <f t="shared" ref="B93:B216" si="2">LEN(C93)</f>
        <v>10</v>
      </c>
      <c r="C93" s="223" t="s">
        <v>314</v>
      </c>
      <c r="D93" s="45"/>
      <c r="E93" s="236">
        <f>Conversions!$D$6</f>
        <v>18.92000566331587</v>
      </c>
      <c r="F93" s="236">
        <f>Conversions!$D$6</f>
        <v>18.92000566331587</v>
      </c>
      <c r="G93" s="236">
        <f>Conversions!$D$6</f>
        <v>18.92000566331587</v>
      </c>
      <c r="H93" s="233" t="s">
        <v>322</v>
      </c>
      <c r="I93" s="46">
        <v>5</v>
      </c>
      <c r="J93" s="243" t="s">
        <v>406</v>
      </c>
      <c r="K93" s="243"/>
      <c r="L93" s="243"/>
      <c r="M93" s="243"/>
      <c r="N93" s="243"/>
      <c r="O93" s="243"/>
      <c r="P93" s="244"/>
    </row>
    <row r="94" spans="2:16" ht="15" x14ac:dyDescent="0.25">
      <c r="B94" s="17">
        <f t="shared" si="2"/>
        <v>7</v>
      </c>
      <c r="C94" s="223" t="s">
        <v>868</v>
      </c>
      <c r="D94" s="45"/>
      <c r="E94" s="236">
        <f>PS!C71</f>
        <v>3165.1576170966068</v>
      </c>
      <c r="F94" s="236">
        <f>PS!D71</f>
        <v>3161.4602036783654</v>
      </c>
      <c r="G94" s="236">
        <f>PS!E71</f>
        <v>3168.8550305148483</v>
      </c>
      <c r="H94" s="233" t="s">
        <v>869</v>
      </c>
      <c r="I94" s="46">
        <v>2</v>
      </c>
      <c r="J94" s="303" t="s">
        <v>877</v>
      </c>
      <c r="K94" s="327"/>
      <c r="L94" s="327"/>
      <c r="M94" s="327"/>
      <c r="N94" s="327"/>
      <c r="O94" s="327"/>
      <c r="P94" s="328"/>
    </row>
    <row r="95" spans="2:16" ht="15" x14ac:dyDescent="0.25">
      <c r="B95" s="17">
        <f t="shared" si="2"/>
        <v>9</v>
      </c>
      <c r="C95" s="223" t="s">
        <v>870</v>
      </c>
      <c r="D95" s="45"/>
      <c r="E95" s="263">
        <v>1.7500000000000002E-2</v>
      </c>
      <c r="F95" s="263">
        <v>1.7500000000000002E-2</v>
      </c>
      <c r="G95" s="263">
        <v>1.7500000000000002E-2</v>
      </c>
      <c r="H95" s="233" t="s">
        <v>873</v>
      </c>
      <c r="I95" s="388" t="s">
        <v>1028</v>
      </c>
      <c r="J95" s="261" t="s">
        <v>874</v>
      </c>
      <c r="K95" s="261"/>
      <c r="L95" s="261"/>
      <c r="M95" s="261"/>
      <c r="N95" s="261"/>
      <c r="O95" s="261"/>
      <c r="P95" s="262"/>
    </row>
    <row r="96" spans="2:16" ht="15" x14ac:dyDescent="0.25">
      <c r="B96" s="17">
        <f t="shared" si="2"/>
        <v>10</v>
      </c>
      <c r="C96" s="223" t="s">
        <v>871</v>
      </c>
      <c r="D96" s="45"/>
      <c r="E96" s="263">
        <v>1.66E-4</v>
      </c>
      <c r="F96" s="263">
        <v>1.66E-4</v>
      </c>
      <c r="G96" s="263">
        <v>1.66E-4</v>
      </c>
      <c r="H96" s="233" t="s">
        <v>875</v>
      </c>
      <c r="I96" s="389">
        <v>7</v>
      </c>
      <c r="J96" s="261" t="s">
        <v>876</v>
      </c>
      <c r="K96" s="261"/>
      <c r="L96" s="261"/>
      <c r="M96" s="261"/>
      <c r="N96" s="261"/>
      <c r="O96" s="261"/>
      <c r="P96" s="262"/>
    </row>
    <row r="97" spans="2:16" ht="15" x14ac:dyDescent="0.25">
      <c r="B97" s="17">
        <f t="shared" si="2"/>
        <v>21</v>
      </c>
      <c r="C97" s="223" t="s">
        <v>872</v>
      </c>
      <c r="D97" s="45"/>
      <c r="E97" s="254">
        <f>(E23*E93/E95)/((E23*E93/E95)+(E94/E96))</f>
        <v>0.98336641818761439</v>
      </c>
      <c r="F97" s="254">
        <f>(F23*F93/F95)/((F23*F93/F95)+(F94/F96))</f>
        <v>0.98337204848562909</v>
      </c>
      <c r="G97" s="254">
        <f>(G23*G93/G95)/((G23*G93/G95)+(G94/G96))</f>
        <v>0.98336079722760406</v>
      </c>
      <c r="H97" s="233" t="s">
        <v>878</v>
      </c>
      <c r="I97" s="46" t="s">
        <v>1029</v>
      </c>
      <c r="J97" s="261" t="s">
        <v>879</v>
      </c>
      <c r="K97" s="261"/>
      <c r="L97" s="261"/>
      <c r="M97" s="261"/>
      <c r="N97" s="261"/>
      <c r="O97" s="261"/>
      <c r="P97" s="262"/>
    </row>
    <row r="98" spans="2:16" ht="26.25" x14ac:dyDescent="0.25">
      <c r="B98" s="17">
        <f t="shared" si="2"/>
        <v>16</v>
      </c>
      <c r="C98" s="223" t="s">
        <v>315</v>
      </c>
      <c r="D98" s="45" t="s">
        <v>893</v>
      </c>
      <c r="E98" s="236">
        <f>E24*Conversions!$C$10/(E23*E93)*E97</f>
        <v>0.67638870373347793</v>
      </c>
      <c r="F98" s="236">
        <f>F24*Conversions!$C$10/(F23*F93)*F97</f>
        <v>0.63570624971223022</v>
      </c>
      <c r="G98" s="236">
        <f>G24*Conversions!$C$10/(G23*G93)*G97</f>
        <v>0.71700368478334731</v>
      </c>
      <c r="H98" s="233" t="s">
        <v>323</v>
      </c>
      <c r="I98" s="248" t="s">
        <v>1030</v>
      </c>
      <c r="J98" s="243" t="s">
        <v>407</v>
      </c>
      <c r="K98" s="243"/>
      <c r="L98" s="243"/>
      <c r="M98" s="243"/>
      <c r="N98" s="243"/>
      <c r="O98" s="243"/>
      <c r="P98" s="244"/>
    </row>
    <row r="99" spans="2:16" ht="15" x14ac:dyDescent="0.25">
      <c r="B99" s="17">
        <f t="shared" si="2"/>
        <v>20</v>
      </c>
      <c r="C99" s="223" t="s">
        <v>316</v>
      </c>
      <c r="D99" s="45" t="s">
        <v>894</v>
      </c>
      <c r="E99" s="236">
        <f>E98*E25</f>
        <v>6.7638870373347801E-2</v>
      </c>
      <c r="F99" s="236">
        <f>F98*F25</f>
        <v>0</v>
      </c>
      <c r="G99" s="236">
        <f t="shared" ref="G99" si="3">G98*G25</f>
        <v>0.43020221087000837</v>
      </c>
      <c r="H99" s="233" t="s">
        <v>323</v>
      </c>
      <c r="I99" s="248" t="s">
        <v>1031</v>
      </c>
      <c r="J99" s="243" t="s">
        <v>408</v>
      </c>
      <c r="K99" s="243"/>
      <c r="L99" s="243"/>
      <c r="M99" s="243"/>
      <c r="N99" s="243"/>
      <c r="O99" s="243"/>
      <c r="P99" s="244"/>
    </row>
    <row r="100" spans="2:16" ht="15" x14ac:dyDescent="0.25">
      <c r="B100" s="17">
        <f t="shared" si="2"/>
        <v>20</v>
      </c>
      <c r="C100" s="223" t="s">
        <v>317</v>
      </c>
      <c r="D100" s="45" t="s">
        <v>895</v>
      </c>
      <c r="E100" s="236">
        <f>E88*Conversions!$C$10*356*30/(E23*E93)</f>
        <v>0.79927106792505964</v>
      </c>
      <c r="F100" s="236">
        <f>F88*Conversions!$C$10*356*30/(F23*F93)</f>
        <v>3.0766553675159444E-2</v>
      </c>
      <c r="G100" s="236">
        <f>G88*Conversions!$C$10*356*30/(G23*G93)</f>
        <v>16.791346603788465</v>
      </c>
      <c r="H100" s="233" t="s">
        <v>323</v>
      </c>
      <c r="I100" s="248" t="s">
        <v>474</v>
      </c>
      <c r="J100" s="243" t="s">
        <v>409</v>
      </c>
      <c r="K100" s="243"/>
      <c r="L100" s="243"/>
      <c r="M100" s="243"/>
      <c r="N100" s="243"/>
      <c r="O100" s="243"/>
      <c r="P100" s="244"/>
    </row>
    <row r="101" spans="2:16" ht="43.5" customHeight="1" x14ac:dyDescent="0.25">
      <c r="B101" s="17">
        <f t="shared" si="2"/>
        <v>14</v>
      </c>
      <c r="C101" s="223" t="s">
        <v>495</v>
      </c>
      <c r="D101" s="45" t="s">
        <v>896</v>
      </c>
      <c r="E101" s="254">
        <f>($E$87*E26/(10^6))*$E$82*$E$83*$E$85/($E$93*$E$23)</f>
        <v>2.0185268856366173E-8</v>
      </c>
      <c r="F101" s="254">
        <f t="shared" ref="F101:F132" si="4">($F$87*F26/(10^6))*$F$82*$F$83*$F$85/($F$93*$F$23)</f>
        <v>1.4655429565412001E-10</v>
      </c>
      <c r="G101" s="254">
        <f t="shared" ref="G101:G132" si="5">($G$87*G26/(10^6))*$G$82*$G$83*$G$85/($G$93*$G$23)</f>
        <v>6.2875452430965673E-7</v>
      </c>
      <c r="H101" s="233" t="s">
        <v>328</v>
      </c>
      <c r="I101" s="248" t="s">
        <v>1033</v>
      </c>
      <c r="J101" s="252" t="s">
        <v>621</v>
      </c>
      <c r="K101" s="243"/>
      <c r="L101" s="243"/>
      <c r="M101" s="243"/>
      <c r="N101" s="243"/>
      <c r="O101" s="243"/>
      <c r="P101" s="244"/>
    </row>
    <row r="102" spans="2:16" ht="26.25" x14ac:dyDescent="0.25">
      <c r="B102" s="17">
        <f t="shared" si="2"/>
        <v>14</v>
      </c>
      <c r="C102" s="223" t="s">
        <v>496</v>
      </c>
      <c r="D102" s="45" t="s">
        <v>897</v>
      </c>
      <c r="E102" s="254">
        <f t="shared" ref="E101:E132" si="6">($E$87*E27/(10^6))*$E$82*$E$83*$E$85/($E$93*$E$23)</f>
        <v>0</v>
      </c>
      <c r="F102" s="254">
        <f t="shared" si="4"/>
        <v>0</v>
      </c>
      <c r="G102" s="254">
        <f t="shared" si="5"/>
        <v>0</v>
      </c>
      <c r="H102" s="233" t="s">
        <v>328</v>
      </c>
      <c r="I102" s="248" t="s">
        <v>1033</v>
      </c>
      <c r="J102" s="252" t="s">
        <v>622</v>
      </c>
      <c r="K102" s="243"/>
      <c r="L102" s="243"/>
      <c r="M102" s="243"/>
      <c r="N102" s="243"/>
      <c r="O102" s="243"/>
      <c r="P102" s="244"/>
    </row>
    <row r="103" spans="2:16" ht="26.25" x14ac:dyDescent="0.25">
      <c r="B103" s="17">
        <f t="shared" si="2"/>
        <v>13</v>
      </c>
      <c r="C103" s="223" t="s">
        <v>497</v>
      </c>
      <c r="D103" s="45" t="s">
        <v>898</v>
      </c>
      <c r="E103" s="254">
        <f t="shared" si="6"/>
        <v>0</v>
      </c>
      <c r="F103" s="254">
        <f t="shared" si="4"/>
        <v>0</v>
      </c>
      <c r="G103" s="254">
        <f t="shared" si="5"/>
        <v>0</v>
      </c>
      <c r="H103" s="233" t="s">
        <v>328</v>
      </c>
      <c r="I103" s="248" t="s">
        <v>1033</v>
      </c>
      <c r="J103" s="252" t="s">
        <v>623</v>
      </c>
      <c r="K103" s="243"/>
      <c r="L103" s="243"/>
      <c r="M103" s="243"/>
      <c r="N103" s="243"/>
      <c r="O103" s="243"/>
      <c r="P103" s="244"/>
    </row>
    <row r="104" spans="2:16" ht="26.25" x14ac:dyDescent="0.25">
      <c r="B104" s="17">
        <f t="shared" si="2"/>
        <v>13</v>
      </c>
      <c r="C104" s="223" t="s">
        <v>498</v>
      </c>
      <c r="D104" s="45" t="s">
        <v>899</v>
      </c>
      <c r="E104" s="254">
        <f t="shared" si="6"/>
        <v>0</v>
      </c>
      <c r="F104" s="254">
        <f t="shared" si="4"/>
        <v>0</v>
      </c>
      <c r="G104" s="254">
        <f t="shared" si="5"/>
        <v>0</v>
      </c>
      <c r="H104" s="233" t="s">
        <v>328</v>
      </c>
      <c r="I104" s="248" t="s">
        <v>1033</v>
      </c>
      <c r="J104" s="252" t="s">
        <v>624</v>
      </c>
      <c r="K104" s="243"/>
      <c r="L104" s="243"/>
      <c r="M104" s="243"/>
      <c r="N104" s="243"/>
      <c r="O104" s="243"/>
      <c r="P104" s="244"/>
    </row>
    <row r="105" spans="2:16" ht="26.25" x14ac:dyDescent="0.25">
      <c r="B105" s="17">
        <f t="shared" si="2"/>
        <v>13</v>
      </c>
      <c r="C105" s="223" t="s">
        <v>499</v>
      </c>
      <c r="D105" s="45" t="s">
        <v>900</v>
      </c>
      <c r="E105" s="254">
        <f t="shared" si="6"/>
        <v>0</v>
      </c>
      <c r="F105" s="254">
        <f t="shared" si="4"/>
        <v>0</v>
      </c>
      <c r="G105" s="254">
        <f t="shared" si="5"/>
        <v>0</v>
      </c>
      <c r="H105" s="233" t="s">
        <v>328</v>
      </c>
      <c r="I105" s="248" t="s">
        <v>1033</v>
      </c>
      <c r="J105" s="252" t="s">
        <v>625</v>
      </c>
      <c r="K105" s="243"/>
      <c r="L105" s="243"/>
      <c r="M105" s="243"/>
      <c r="N105" s="243"/>
      <c r="O105" s="243"/>
      <c r="P105" s="244"/>
    </row>
    <row r="106" spans="2:16" ht="26.25" x14ac:dyDescent="0.25">
      <c r="B106" s="17">
        <f t="shared" si="2"/>
        <v>12</v>
      </c>
      <c r="C106" s="223" t="s">
        <v>500</v>
      </c>
      <c r="D106" s="45" t="s">
        <v>901</v>
      </c>
      <c r="E106" s="254">
        <f t="shared" si="6"/>
        <v>0</v>
      </c>
      <c r="F106" s="254">
        <f t="shared" si="4"/>
        <v>0</v>
      </c>
      <c r="G106" s="254">
        <f t="shared" si="5"/>
        <v>0</v>
      </c>
      <c r="H106" s="233" t="s">
        <v>328</v>
      </c>
      <c r="I106" s="248" t="s">
        <v>1033</v>
      </c>
      <c r="J106" s="252" t="s">
        <v>626</v>
      </c>
      <c r="K106" s="243"/>
      <c r="L106" s="243"/>
      <c r="M106" s="243"/>
      <c r="N106" s="243"/>
      <c r="O106" s="243"/>
      <c r="P106" s="244"/>
    </row>
    <row r="107" spans="2:16" ht="26.25" x14ac:dyDescent="0.25">
      <c r="B107" s="17">
        <f t="shared" si="2"/>
        <v>13</v>
      </c>
      <c r="C107" s="223" t="s">
        <v>501</v>
      </c>
      <c r="D107" s="45" t="s">
        <v>902</v>
      </c>
      <c r="E107" s="254">
        <f t="shared" si="6"/>
        <v>0</v>
      </c>
      <c r="F107" s="254">
        <f t="shared" si="4"/>
        <v>0</v>
      </c>
      <c r="G107" s="254">
        <f t="shared" si="5"/>
        <v>0</v>
      </c>
      <c r="H107" s="233" t="s">
        <v>328</v>
      </c>
      <c r="I107" s="248" t="s">
        <v>1033</v>
      </c>
      <c r="J107" s="252" t="s">
        <v>627</v>
      </c>
      <c r="K107" s="243"/>
      <c r="L107" s="243"/>
      <c r="M107" s="243"/>
      <c r="N107" s="243"/>
      <c r="O107" s="243"/>
      <c r="P107" s="244"/>
    </row>
    <row r="108" spans="2:16" ht="26.25" x14ac:dyDescent="0.25">
      <c r="B108" s="17">
        <f t="shared" si="2"/>
        <v>13</v>
      </c>
      <c r="C108" s="223" t="s">
        <v>502</v>
      </c>
      <c r="D108" s="45" t="s">
        <v>903</v>
      </c>
      <c r="E108" s="254">
        <f t="shared" si="6"/>
        <v>0</v>
      </c>
      <c r="F108" s="254">
        <f t="shared" si="4"/>
        <v>0</v>
      </c>
      <c r="G108" s="254">
        <f t="shared" si="5"/>
        <v>0</v>
      </c>
      <c r="H108" s="233" t="s">
        <v>328</v>
      </c>
      <c r="I108" s="248" t="s">
        <v>1033</v>
      </c>
      <c r="J108" s="252" t="s">
        <v>628</v>
      </c>
      <c r="K108" s="243"/>
      <c r="L108" s="243"/>
      <c r="M108" s="243"/>
      <c r="N108" s="243"/>
      <c r="O108" s="243"/>
      <c r="P108" s="244"/>
    </row>
    <row r="109" spans="2:16" ht="26.25" x14ac:dyDescent="0.25">
      <c r="B109" s="17">
        <f t="shared" si="2"/>
        <v>13</v>
      </c>
      <c r="C109" s="223" t="s">
        <v>503</v>
      </c>
      <c r="D109" s="45" t="s">
        <v>904</v>
      </c>
      <c r="E109" s="254">
        <f t="shared" si="6"/>
        <v>0</v>
      </c>
      <c r="F109" s="254">
        <f t="shared" si="4"/>
        <v>0</v>
      </c>
      <c r="G109" s="254">
        <f t="shared" si="5"/>
        <v>0</v>
      </c>
      <c r="H109" s="233" t="s">
        <v>328</v>
      </c>
      <c r="I109" s="248" t="s">
        <v>1033</v>
      </c>
      <c r="J109" s="252" t="s">
        <v>629</v>
      </c>
      <c r="K109" s="243"/>
      <c r="L109" s="243"/>
      <c r="M109" s="243"/>
      <c r="N109" s="243"/>
      <c r="O109" s="243"/>
      <c r="P109" s="244"/>
    </row>
    <row r="110" spans="2:16" ht="26.25" x14ac:dyDescent="0.25">
      <c r="B110" s="17">
        <f t="shared" si="2"/>
        <v>13</v>
      </c>
      <c r="C110" s="223" t="s">
        <v>504</v>
      </c>
      <c r="D110" s="45" t="s">
        <v>905</v>
      </c>
      <c r="E110" s="254">
        <f t="shared" si="6"/>
        <v>6.4531387129540112E-10</v>
      </c>
      <c r="F110" s="254">
        <f t="shared" si="4"/>
        <v>4.4803395820289002E-12</v>
      </c>
      <c r="G110" s="254">
        <f t="shared" si="5"/>
        <v>2.0817080241645996E-8</v>
      </c>
      <c r="H110" s="233" t="s">
        <v>328</v>
      </c>
      <c r="I110" s="248" t="s">
        <v>1033</v>
      </c>
      <c r="J110" s="252" t="s">
        <v>630</v>
      </c>
      <c r="K110" s="243"/>
      <c r="L110" s="243"/>
      <c r="M110" s="243"/>
      <c r="N110" s="243"/>
      <c r="O110" s="243"/>
      <c r="P110" s="244"/>
    </row>
    <row r="111" spans="2:16" ht="26.25" x14ac:dyDescent="0.25">
      <c r="B111" s="17">
        <f t="shared" si="2"/>
        <v>13</v>
      </c>
      <c r="C111" s="223" t="s">
        <v>505</v>
      </c>
      <c r="D111" s="45" t="s">
        <v>906</v>
      </c>
      <c r="E111" s="254">
        <f t="shared" si="6"/>
        <v>0</v>
      </c>
      <c r="F111" s="254">
        <f t="shared" si="4"/>
        <v>0</v>
      </c>
      <c r="G111" s="254">
        <f t="shared" si="5"/>
        <v>0</v>
      </c>
      <c r="H111" s="233" t="s">
        <v>328</v>
      </c>
      <c r="I111" s="248" t="s">
        <v>1033</v>
      </c>
      <c r="J111" s="252" t="s">
        <v>631</v>
      </c>
      <c r="K111" s="243"/>
      <c r="L111" s="243"/>
      <c r="M111" s="243"/>
      <c r="N111" s="243"/>
      <c r="O111" s="243"/>
      <c r="P111" s="244"/>
    </row>
    <row r="112" spans="2:16" ht="26.25" x14ac:dyDescent="0.25">
      <c r="B112" s="17">
        <f t="shared" si="2"/>
        <v>13</v>
      </c>
      <c r="C112" s="223" t="s">
        <v>506</v>
      </c>
      <c r="D112" s="45" t="s">
        <v>907</v>
      </c>
      <c r="E112" s="254">
        <f t="shared" si="6"/>
        <v>1.1035139336758557E-8</v>
      </c>
      <c r="F112" s="254">
        <f t="shared" si="4"/>
        <v>7.9441199541031154E-11</v>
      </c>
      <c r="G112" s="254">
        <f t="shared" si="5"/>
        <v>3.4610796041154433E-7</v>
      </c>
      <c r="H112" s="233" t="s">
        <v>328</v>
      </c>
      <c r="I112" s="248" t="s">
        <v>1033</v>
      </c>
      <c r="J112" s="252" t="s">
        <v>632</v>
      </c>
      <c r="K112" s="243"/>
      <c r="L112" s="243"/>
      <c r="M112" s="243"/>
      <c r="N112" s="243"/>
      <c r="O112" s="243"/>
      <c r="P112" s="244"/>
    </row>
    <row r="113" spans="2:16" ht="26.25" x14ac:dyDescent="0.25">
      <c r="B113" s="17">
        <f t="shared" si="2"/>
        <v>13</v>
      </c>
      <c r="C113" s="223" t="s">
        <v>507</v>
      </c>
      <c r="D113" s="45" t="s">
        <v>908</v>
      </c>
      <c r="E113" s="254">
        <f t="shared" si="6"/>
        <v>0</v>
      </c>
      <c r="F113" s="254">
        <f t="shared" si="4"/>
        <v>0</v>
      </c>
      <c r="G113" s="254">
        <f t="shared" si="5"/>
        <v>0</v>
      </c>
      <c r="H113" s="233" t="s">
        <v>328</v>
      </c>
      <c r="I113" s="248" t="s">
        <v>1033</v>
      </c>
      <c r="J113" s="252" t="s">
        <v>633</v>
      </c>
      <c r="K113" s="243"/>
      <c r="L113" s="243"/>
      <c r="M113" s="243"/>
      <c r="N113" s="243"/>
      <c r="O113" s="243"/>
      <c r="P113" s="244"/>
    </row>
    <row r="114" spans="2:16" ht="26.25" x14ac:dyDescent="0.25">
      <c r="B114" s="17">
        <f t="shared" si="2"/>
        <v>13</v>
      </c>
      <c r="C114" s="223" t="s">
        <v>508</v>
      </c>
      <c r="D114" s="45" t="s">
        <v>909</v>
      </c>
      <c r="E114" s="254">
        <f t="shared" si="6"/>
        <v>0</v>
      </c>
      <c r="F114" s="254">
        <f t="shared" si="4"/>
        <v>0</v>
      </c>
      <c r="G114" s="254">
        <f t="shared" si="5"/>
        <v>0</v>
      </c>
      <c r="H114" s="233" t="s">
        <v>328</v>
      </c>
      <c r="I114" s="248" t="s">
        <v>1033</v>
      </c>
      <c r="J114" s="252" t="s">
        <v>634</v>
      </c>
      <c r="K114" s="243"/>
      <c r="L114" s="243"/>
      <c r="M114" s="243"/>
      <c r="N114" s="243"/>
      <c r="O114" s="243"/>
      <c r="P114" s="244"/>
    </row>
    <row r="115" spans="2:16" ht="26.25" x14ac:dyDescent="0.25">
      <c r="B115" s="17">
        <f t="shared" si="2"/>
        <v>13</v>
      </c>
      <c r="C115" s="223" t="s">
        <v>509</v>
      </c>
      <c r="D115" s="45" t="s">
        <v>910</v>
      </c>
      <c r="E115" s="254">
        <f t="shared" si="6"/>
        <v>0</v>
      </c>
      <c r="F115" s="254">
        <f t="shared" si="4"/>
        <v>0</v>
      </c>
      <c r="G115" s="254">
        <f t="shared" si="5"/>
        <v>0</v>
      </c>
      <c r="H115" s="233" t="s">
        <v>328</v>
      </c>
      <c r="I115" s="248" t="s">
        <v>1033</v>
      </c>
      <c r="J115" s="252" t="s">
        <v>635</v>
      </c>
      <c r="K115" s="243"/>
      <c r="L115" s="243"/>
      <c r="M115" s="243"/>
      <c r="N115" s="243"/>
      <c r="O115" s="243"/>
      <c r="P115" s="244"/>
    </row>
    <row r="116" spans="2:16" ht="26.25" x14ac:dyDescent="0.25">
      <c r="B116" s="17">
        <f t="shared" si="2"/>
        <v>12</v>
      </c>
      <c r="C116" s="223" t="s">
        <v>510</v>
      </c>
      <c r="D116" s="45" t="s">
        <v>911</v>
      </c>
      <c r="E116" s="254">
        <f t="shared" si="6"/>
        <v>0</v>
      </c>
      <c r="F116" s="254">
        <f t="shared" si="4"/>
        <v>0</v>
      </c>
      <c r="G116" s="254">
        <f t="shared" si="5"/>
        <v>0</v>
      </c>
      <c r="H116" s="233" t="s">
        <v>328</v>
      </c>
      <c r="I116" s="248" t="s">
        <v>1033</v>
      </c>
      <c r="J116" s="252" t="s">
        <v>636</v>
      </c>
      <c r="K116" s="243"/>
      <c r="L116" s="243"/>
      <c r="M116" s="243"/>
      <c r="N116" s="243"/>
      <c r="O116" s="243"/>
      <c r="P116" s="244"/>
    </row>
    <row r="117" spans="2:16" ht="26.25" x14ac:dyDescent="0.25">
      <c r="B117" s="17">
        <f t="shared" si="2"/>
        <v>16</v>
      </c>
      <c r="C117" s="223" t="s">
        <v>511</v>
      </c>
      <c r="D117" s="45" t="s">
        <v>912</v>
      </c>
      <c r="E117" s="254">
        <f t="shared" si="6"/>
        <v>0</v>
      </c>
      <c r="F117" s="254">
        <f t="shared" si="4"/>
        <v>0</v>
      </c>
      <c r="G117" s="254">
        <f t="shared" si="5"/>
        <v>0</v>
      </c>
      <c r="H117" s="233" t="s">
        <v>328</v>
      </c>
      <c r="I117" s="248" t="s">
        <v>1033</v>
      </c>
      <c r="J117" s="252" t="s">
        <v>637</v>
      </c>
      <c r="K117" s="243"/>
      <c r="L117" s="243"/>
      <c r="M117" s="243"/>
      <c r="N117" s="243"/>
      <c r="O117" s="243"/>
      <c r="P117" s="244"/>
    </row>
    <row r="118" spans="2:16" ht="26.25" x14ac:dyDescent="0.25">
      <c r="B118" s="17">
        <f t="shared" si="2"/>
        <v>15</v>
      </c>
      <c r="C118" s="224" t="s">
        <v>512</v>
      </c>
      <c r="D118" s="45" t="s">
        <v>913</v>
      </c>
      <c r="E118" s="254">
        <f t="shared" si="6"/>
        <v>8.417600013843734E-10</v>
      </c>
      <c r="F118" s="254">
        <f t="shared" si="4"/>
        <v>6.183160871898356E-12</v>
      </c>
      <c r="G118" s="254">
        <f t="shared" si="5"/>
        <v>2.5969954371340292E-8</v>
      </c>
      <c r="H118" s="233" t="s">
        <v>328</v>
      </c>
      <c r="I118" s="248" t="s">
        <v>1033</v>
      </c>
      <c r="J118" s="252" t="s">
        <v>638</v>
      </c>
      <c r="K118" s="243"/>
      <c r="L118" s="243"/>
      <c r="M118" s="243"/>
      <c r="N118" s="243"/>
      <c r="O118" s="243"/>
      <c r="P118" s="244"/>
    </row>
    <row r="119" spans="2:16" ht="26.25" x14ac:dyDescent="0.25">
      <c r="B119" s="17">
        <f t="shared" si="2"/>
        <v>13</v>
      </c>
      <c r="C119" s="223" t="s">
        <v>513</v>
      </c>
      <c r="D119" s="45" t="s">
        <v>914</v>
      </c>
      <c r="E119" s="254">
        <f t="shared" si="6"/>
        <v>0</v>
      </c>
      <c r="F119" s="254">
        <f t="shared" si="4"/>
        <v>0</v>
      </c>
      <c r="G119" s="254">
        <f t="shared" si="5"/>
        <v>0</v>
      </c>
      <c r="H119" s="233" t="s">
        <v>328</v>
      </c>
      <c r="I119" s="248" t="s">
        <v>1033</v>
      </c>
      <c r="J119" s="252" t="s">
        <v>639</v>
      </c>
      <c r="K119" s="243"/>
      <c r="L119" s="243"/>
      <c r="M119" s="243"/>
      <c r="N119" s="243"/>
      <c r="O119" s="243"/>
      <c r="P119" s="244"/>
    </row>
    <row r="120" spans="2:16" ht="26.25" x14ac:dyDescent="0.25">
      <c r="B120" s="17">
        <f t="shared" si="2"/>
        <v>12</v>
      </c>
      <c r="C120" s="224" t="s">
        <v>514</v>
      </c>
      <c r="D120" s="45" t="s">
        <v>915</v>
      </c>
      <c r="E120" s="254">
        <f t="shared" si="6"/>
        <v>0</v>
      </c>
      <c r="F120" s="254">
        <f t="shared" si="4"/>
        <v>0</v>
      </c>
      <c r="G120" s="254">
        <f t="shared" si="5"/>
        <v>0</v>
      </c>
      <c r="H120" s="233" t="s">
        <v>328</v>
      </c>
      <c r="I120" s="248" t="s">
        <v>1033</v>
      </c>
      <c r="J120" s="252" t="s">
        <v>640</v>
      </c>
      <c r="K120" s="243"/>
      <c r="L120" s="243"/>
      <c r="M120" s="243"/>
      <c r="N120" s="243"/>
      <c r="O120" s="243"/>
      <c r="P120" s="244"/>
    </row>
    <row r="121" spans="2:16" ht="26.25" x14ac:dyDescent="0.25">
      <c r="B121" s="17">
        <f t="shared" si="2"/>
        <v>12</v>
      </c>
      <c r="C121" s="223" t="s">
        <v>515</v>
      </c>
      <c r="D121" s="45" t="s">
        <v>916</v>
      </c>
      <c r="E121" s="254">
        <f t="shared" si="6"/>
        <v>4.3714284718833868E-10</v>
      </c>
      <c r="F121" s="254">
        <f t="shared" si="4"/>
        <v>2.0324665506589384E-12</v>
      </c>
      <c r="G121" s="254">
        <f t="shared" si="5"/>
        <v>1.7604894475356551E-8</v>
      </c>
      <c r="H121" s="233" t="s">
        <v>328</v>
      </c>
      <c r="I121" s="248" t="s">
        <v>1033</v>
      </c>
      <c r="J121" s="252" t="s">
        <v>641</v>
      </c>
      <c r="K121" s="243"/>
      <c r="L121" s="243"/>
      <c r="M121" s="243"/>
      <c r="N121" s="243"/>
      <c r="O121" s="243"/>
      <c r="P121" s="244"/>
    </row>
    <row r="122" spans="2:16" ht="26.25" x14ac:dyDescent="0.25">
      <c r="B122" s="17">
        <f t="shared" si="2"/>
        <v>13</v>
      </c>
      <c r="C122" s="223" t="s">
        <v>516</v>
      </c>
      <c r="D122" s="45" t="s">
        <v>917</v>
      </c>
      <c r="E122" s="254">
        <f t="shared" si="6"/>
        <v>0</v>
      </c>
      <c r="F122" s="254">
        <f t="shared" si="4"/>
        <v>0</v>
      </c>
      <c r="G122" s="254">
        <f t="shared" si="5"/>
        <v>0</v>
      </c>
      <c r="H122" s="233" t="s">
        <v>328</v>
      </c>
      <c r="I122" s="248" t="s">
        <v>1033</v>
      </c>
      <c r="J122" s="252" t="s">
        <v>642</v>
      </c>
      <c r="K122" s="243"/>
      <c r="L122" s="243"/>
      <c r="M122" s="243"/>
      <c r="N122" s="243"/>
      <c r="O122" s="243"/>
      <c r="P122" s="244"/>
    </row>
    <row r="123" spans="2:16" ht="26.25" x14ac:dyDescent="0.25">
      <c r="B123" s="17">
        <f t="shared" si="2"/>
        <v>13</v>
      </c>
      <c r="C123" s="223" t="s">
        <v>517</v>
      </c>
      <c r="D123" s="45" t="s">
        <v>918</v>
      </c>
      <c r="E123" s="254">
        <f t="shared" si="6"/>
        <v>1.466793901059425E-10</v>
      </c>
      <c r="F123" s="254">
        <f t="shared" si="4"/>
        <v>9.9370374285150842E-13</v>
      </c>
      <c r="G123" s="254">
        <f t="shared" si="5"/>
        <v>4.8179248192155427E-9</v>
      </c>
      <c r="H123" s="233" t="s">
        <v>328</v>
      </c>
      <c r="I123" s="248" t="s">
        <v>1033</v>
      </c>
      <c r="J123" s="252" t="s">
        <v>643</v>
      </c>
      <c r="K123" s="243"/>
      <c r="L123" s="243"/>
      <c r="M123" s="243"/>
      <c r="N123" s="243"/>
      <c r="O123" s="243"/>
      <c r="P123" s="244"/>
    </row>
    <row r="124" spans="2:16" ht="26.25" x14ac:dyDescent="0.25">
      <c r="B124" s="17">
        <f t="shared" si="2"/>
        <v>13</v>
      </c>
      <c r="C124" s="223" t="s">
        <v>518</v>
      </c>
      <c r="D124" s="45" t="s">
        <v>919</v>
      </c>
      <c r="E124" s="254">
        <f t="shared" si="6"/>
        <v>0</v>
      </c>
      <c r="F124" s="254">
        <f t="shared" si="4"/>
        <v>0</v>
      </c>
      <c r="G124" s="254">
        <f t="shared" si="5"/>
        <v>0</v>
      </c>
      <c r="H124" s="233" t="s">
        <v>328</v>
      </c>
      <c r="I124" s="248" t="s">
        <v>1033</v>
      </c>
      <c r="J124" s="252" t="s">
        <v>644</v>
      </c>
      <c r="K124" s="243"/>
      <c r="L124" s="243"/>
      <c r="M124" s="243"/>
      <c r="N124" s="243"/>
      <c r="O124" s="243"/>
      <c r="P124" s="244"/>
    </row>
    <row r="125" spans="2:16" ht="26.25" x14ac:dyDescent="0.25">
      <c r="B125" s="17">
        <f t="shared" si="2"/>
        <v>13</v>
      </c>
      <c r="C125" s="223" t="s">
        <v>519</v>
      </c>
      <c r="D125" s="45" t="s">
        <v>920</v>
      </c>
      <c r="E125" s="254">
        <f t="shared" si="6"/>
        <v>0</v>
      </c>
      <c r="F125" s="254">
        <f t="shared" si="4"/>
        <v>0</v>
      </c>
      <c r="G125" s="254">
        <f t="shared" si="5"/>
        <v>0</v>
      </c>
      <c r="H125" s="233" t="s">
        <v>328</v>
      </c>
      <c r="I125" s="248" t="s">
        <v>1033</v>
      </c>
      <c r="J125" s="252" t="s">
        <v>645</v>
      </c>
      <c r="K125" s="243"/>
      <c r="L125" s="243"/>
      <c r="M125" s="243"/>
      <c r="N125" s="243"/>
      <c r="O125" s="243"/>
      <c r="P125" s="244"/>
    </row>
    <row r="126" spans="2:16" ht="26.25" x14ac:dyDescent="0.25">
      <c r="B126" s="17">
        <f t="shared" si="2"/>
        <v>14</v>
      </c>
      <c r="C126" s="223" t="s">
        <v>520</v>
      </c>
      <c r="D126" s="45" t="s">
        <v>921</v>
      </c>
      <c r="E126" s="254">
        <f t="shared" si="6"/>
        <v>0</v>
      </c>
      <c r="F126" s="254">
        <f t="shared" si="4"/>
        <v>0</v>
      </c>
      <c r="G126" s="254">
        <f t="shared" si="5"/>
        <v>0</v>
      </c>
      <c r="H126" s="233" t="s">
        <v>328</v>
      </c>
      <c r="I126" s="248" t="s">
        <v>1033</v>
      </c>
      <c r="J126" s="252" t="s">
        <v>646</v>
      </c>
      <c r="K126" s="243"/>
      <c r="L126" s="243"/>
      <c r="M126" s="243"/>
      <c r="N126" s="243"/>
      <c r="O126" s="243"/>
      <c r="P126" s="244"/>
    </row>
    <row r="127" spans="2:16" ht="26.25" x14ac:dyDescent="0.25">
      <c r="B127" s="17">
        <f t="shared" si="2"/>
        <v>14</v>
      </c>
      <c r="C127" s="223" t="s">
        <v>521</v>
      </c>
      <c r="D127" s="45" t="s">
        <v>922</v>
      </c>
      <c r="E127" s="254">
        <f t="shared" si="6"/>
        <v>0</v>
      </c>
      <c r="F127" s="254">
        <f t="shared" si="4"/>
        <v>0</v>
      </c>
      <c r="G127" s="254">
        <f t="shared" si="5"/>
        <v>0</v>
      </c>
      <c r="H127" s="233" t="s">
        <v>328</v>
      </c>
      <c r="I127" s="248" t="s">
        <v>1033</v>
      </c>
      <c r="J127" s="252" t="s">
        <v>647</v>
      </c>
      <c r="K127" s="243"/>
      <c r="L127" s="243"/>
      <c r="M127" s="243"/>
      <c r="N127" s="243"/>
      <c r="O127" s="243"/>
      <c r="P127" s="244"/>
    </row>
    <row r="128" spans="2:16" ht="39" x14ac:dyDescent="0.25">
      <c r="B128" s="17">
        <f t="shared" si="2"/>
        <v>17</v>
      </c>
      <c r="C128" s="223" t="s">
        <v>522</v>
      </c>
      <c r="D128" s="45" t="s">
        <v>923</v>
      </c>
      <c r="E128" s="254">
        <f t="shared" si="6"/>
        <v>0</v>
      </c>
      <c r="F128" s="254">
        <f t="shared" si="4"/>
        <v>0</v>
      </c>
      <c r="G128" s="254">
        <f t="shared" si="5"/>
        <v>0</v>
      </c>
      <c r="H128" s="233" t="s">
        <v>328</v>
      </c>
      <c r="I128" s="248" t="s">
        <v>1033</v>
      </c>
      <c r="J128" s="252" t="s">
        <v>648</v>
      </c>
      <c r="K128" s="243"/>
      <c r="L128" s="243"/>
      <c r="M128" s="243"/>
      <c r="N128" s="243"/>
      <c r="O128" s="243"/>
      <c r="P128" s="244"/>
    </row>
    <row r="129" spans="2:16" ht="26.25" x14ac:dyDescent="0.25">
      <c r="B129" s="17">
        <f t="shared" si="2"/>
        <v>14</v>
      </c>
      <c r="C129" s="223" t="s">
        <v>523</v>
      </c>
      <c r="D129" s="45" t="s">
        <v>924</v>
      </c>
      <c r="E129" s="254">
        <f t="shared" si="6"/>
        <v>0</v>
      </c>
      <c r="F129" s="254">
        <f t="shared" si="4"/>
        <v>0</v>
      </c>
      <c r="G129" s="254">
        <f t="shared" si="5"/>
        <v>0</v>
      </c>
      <c r="H129" s="233" t="s">
        <v>328</v>
      </c>
      <c r="I129" s="248" t="s">
        <v>1033</v>
      </c>
      <c r="J129" s="252" t="s">
        <v>649</v>
      </c>
      <c r="K129" s="243"/>
      <c r="L129" s="243"/>
      <c r="M129" s="243"/>
      <c r="N129" s="243"/>
      <c r="O129" s="243"/>
      <c r="P129" s="244"/>
    </row>
    <row r="130" spans="2:16" ht="26.25" x14ac:dyDescent="0.25">
      <c r="B130" s="17">
        <f t="shared" si="2"/>
        <v>14</v>
      </c>
      <c r="C130" s="223" t="s">
        <v>524</v>
      </c>
      <c r="D130" s="45" t="s">
        <v>925</v>
      </c>
      <c r="E130" s="254">
        <f t="shared" si="6"/>
        <v>0</v>
      </c>
      <c r="F130" s="254">
        <f t="shared" si="4"/>
        <v>0</v>
      </c>
      <c r="G130" s="254">
        <f t="shared" si="5"/>
        <v>0</v>
      </c>
      <c r="H130" s="233" t="s">
        <v>328</v>
      </c>
      <c r="I130" s="248" t="s">
        <v>1033</v>
      </c>
      <c r="J130" s="252" t="s">
        <v>650</v>
      </c>
      <c r="K130" s="243"/>
      <c r="L130" s="243"/>
      <c r="M130" s="243"/>
      <c r="N130" s="243"/>
      <c r="O130" s="243"/>
      <c r="P130" s="244"/>
    </row>
    <row r="131" spans="2:16" ht="26.25" x14ac:dyDescent="0.25">
      <c r="B131" s="17">
        <f t="shared" si="2"/>
        <v>13</v>
      </c>
      <c r="C131" s="223" t="s">
        <v>525</v>
      </c>
      <c r="D131" s="45" t="s">
        <v>926</v>
      </c>
      <c r="E131" s="254">
        <f t="shared" si="6"/>
        <v>6.6543728919072017E-9</v>
      </c>
      <c r="F131" s="254">
        <f t="shared" si="4"/>
        <v>4.8382083597547241E-11</v>
      </c>
      <c r="G131" s="254">
        <f t="shared" si="5"/>
        <v>2.070396269117874E-7</v>
      </c>
      <c r="H131" s="233" t="s">
        <v>328</v>
      </c>
      <c r="I131" s="248" t="s">
        <v>1033</v>
      </c>
      <c r="J131" s="252" t="s">
        <v>651</v>
      </c>
      <c r="K131" s="243"/>
      <c r="L131" s="243"/>
      <c r="M131" s="243"/>
      <c r="N131" s="243"/>
      <c r="O131" s="243"/>
      <c r="P131" s="244"/>
    </row>
    <row r="132" spans="2:16" ht="26.25" x14ac:dyDescent="0.25">
      <c r="B132" s="17">
        <f t="shared" si="2"/>
        <v>13</v>
      </c>
      <c r="C132" s="223" t="s">
        <v>526</v>
      </c>
      <c r="D132" s="45" t="s">
        <v>927</v>
      </c>
      <c r="E132" s="254">
        <f t="shared" si="6"/>
        <v>0</v>
      </c>
      <c r="F132" s="254">
        <f t="shared" si="4"/>
        <v>0</v>
      </c>
      <c r="G132" s="254">
        <f t="shared" si="5"/>
        <v>0</v>
      </c>
      <c r="H132" s="233" t="s">
        <v>328</v>
      </c>
      <c r="I132" s="248" t="s">
        <v>1033</v>
      </c>
      <c r="J132" s="252" t="s">
        <v>652</v>
      </c>
      <c r="K132" s="243"/>
      <c r="L132" s="243"/>
      <c r="M132" s="243"/>
      <c r="N132" s="243"/>
      <c r="O132" s="243"/>
      <c r="P132" s="244"/>
    </row>
    <row r="133" spans="2:16" ht="26.25" x14ac:dyDescent="0.25">
      <c r="B133" s="17">
        <f t="shared" si="2"/>
        <v>14</v>
      </c>
      <c r="C133" s="223" t="s">
        <v>527</v>
      </c>
      <c r="D133" s="45" t="s">
        <v>928</v>
      </c>
      <c r="E133" s="254">
        <f t="shared" ref="E133:E156" si="7">($E$87*E58/(10^6))*$E$82*$E$83*$E$85/($E$93*$E$23)</f>
        <v>0</v>
      </c>
      <c r="F133" s="254">
        <f t="shared" ref="F133:F156" si="8">($F$87*F58/(10^6))*$F$82*$F$83*$F$85/($F$93*$F$23)</f>
        <v>0</v>
      </c>
      <c r="G133" s="254">
        <f t="shared" ref="G133:G156" si="9">($G$87*G58/(10^6))*$G$82*$G$83*$G$85/($G$93*$G$23)</f>
        <v>0</v>
      </c>
      <c r="H133" s="233" t="s">
        <v>328</v>
      </c>
      <c r="I133" s="248" t="s">
        <v>1033</v>
      </c>
      <c r="J133" s="252" t="s">
        <v>653</v>
      </c>
      <c r="K133" s="243"/>
      <c r="L133" s="243"/>
      <c r="M133" s="243"/>
      <c r="N133" s="243"/>
      <c r="O133" s="243"/>
      <c r="P133" s="244"/>
    </row>
    <row r="134" spans="2:16" ht="26.25" x14ac:dyDescent="0.25">
      <c r="B134" s="17">
        <f t="shared" si="2"/>
        <v>13</v>
      </c>
      <c r="C134" s="223" t="s">
        <v>528</v>
      </c>
      <c r="D134" s="45" t="s">
        <v>929</v>
      </c>
      <c r="E134" s="254">
        <f t="shared" si="7"/>
        <v>0</v>
      </c>
      <c r="F134" s="254">
        <f t="shared" si="8"/>
        <v>0</v>
      </c>
      <c r="G134" s="254">
        <f t="shared" si="9"/>
        <v>0</v>
      </c>
      <c r="H134" s="233" t="s">
        <v>328</v>
      </c>
      <c r="I134" s="248" t="s">
        <v>1033</v>
      </c>
      <c r="J134" s="252" t="s">
        <v>654</v>
      </c>
      <c r="K134" s="243"/>
      <c r="L134" s="243"/>
      <c r="M134" s="243"/>
      <c r="N134" s="243"/>
      <c r="O134" s="243"/>
      <c r="P134" s="244"/>
    </row>
    <row r="135" spans="2:16" ht="26.25" x14ac:dyDescent="0.25">
      <c r="B135" s="17">
        <f t="shared" si="2"/>
        <v>12</v>
      </c>
      <c r="C135" s="223" t="s">
        <v>529</v>
      </c>
      <c r="D135" s="45" t="s">
        <v>930</v>
      </c>
      <c r="E135" s="254">
        <f t="shared" si="7"/>
        <v>0</v>
      </c>
      <c r="F135" s="254">
        <f t="shared" si="8"/>
        <v>0</v>
      </c>
      <c r="G135" s="254">
        <f t="shared" si="9"/>
        <v>0</v>
      </c>
      <c r="H135" s="233" t="s">
        <v>328</v>
      </c>
      <c r="I135" s="248" t="s">
        <v>1033</v>
      </c>
      <c r="J135" s="252" t="s">
        <v>655</v>
      </c>
      <c r="K135" s="243"/>
      <c r="L135" s="243"/>
      <c r="M135" s="243"/>
      <c r="N135" s="243"/>
      <c r="O135" s="243"/>
      <c r="P135" s="244"/>
    </row>
    <row r="136" spans="2:16" ht="26.25" x14ac:dyDescent="0.25">
      <c r="B136" s="17">
        <f t="shared" si="2"/>
        <v>14</v>
      </c>
      <c r="C136" s="223" t="s">
        <v>530</v>
      </c>
      <c r="D136" s="45" t="s">
        <v>931</v>
      </c>
      <c r="E136" s="254">
        <f t="shared" si="7"/>
        <v>0</v>
      </c>
      <c r="F136" s="254">
        <f t="shared" si="8"/>
        <v>0</v>
      </c>
      <c r="G136" s="254">
        <f t="shared" si="9"/>
        <v>0</v>
      </c>
      <c r="H136" s="233" t="s">
        <v>328</v>
      </c>
      <c r="I136" s="248" t="s">
        <v>1033</v>
      </c>
      <c r="J136" s="252" t="s">
        <v>656</v>
      </c>
      <c r="K136" s="243"/>
      <c r="L136" s="243"/>
      <c r="M136" s="243"/>
      <c r="N136" s="243"/>
      <c r="O136" s="243"/>
      <c r="P136" s="244"/>
    </row>
    <row r="137" spans="2:16" ht="26.25" x14ac:dyDescent="0.25">
      <c r="B137" s="17">
        <f t="shared" si="2"/>
        <v>14</v>
      </c>
      <c r="C137" s="223" t="s">
        <v>531</v>
      </c>
      <c r="D137" s="45" t="s">
        <v>932</v>
      </c>
      <c r="E137" s="254">
        <f t="shared" si="7"/>
        <v>5.2853344509017331E-10</v>
      </c>
      <c r="F137" s="254">
        <f t="shared" si="8"/>
        <v>3.7262084926984154E-12</v>
      </c>
      <c r="G137" s="254">
        <f t="shared" si="9"/>
        <v>1.6851890185638112E-8</v>
      </c>
      <c r="H137" s="233" t="s">
        <v>328</v>
      </c>
      <c r="I137" s="248" t="s">
        <v>1033</v>
      </c>
      <c r="J137" s="252" t="s">
        <v>657</v>
      </c>
      <c r="K137" s="243"/>
      <c r="L137" s="243"/>
      <c r="M137" s="243"/>
      <c r="N137" s="243"/>
      <c r="O137" s="243"/>
      <c r="P137" s="244"/>
    </row>
    <row r="138" spans="2:16" ht="26.25" x14ac:dyDescent="0.25">
      <c r="B138" s="17">
        <f t="shared" si="2"/>
        <v>13</v>
      </c>
      <c r="C138" s="223" t="s">
        <v>532</v>
      </c>
      <c r="D138" s="45" t="s">
        <v>933</v>
      </c>
      <c r="E138" s="254">
        <f t="shared" si="7"/>
        <v>0</v>
      </c>
      <c r="F138" s="254">
        <f t="shared" si="8"/>
        <v>0</v>
      </c>
      <c r="G138" s="254">
        <f t="shared" si="9"/>
        <v>0</v>
      </c>
      <c r="H138" s="233" t="s">
        <v>328</v>
      </c>
      <c r="I138" s="248" t="s">
        <v>1033</v>
      </c>
      <c r="J138" s="252" t="s">
        <v>658</v>
      </c>
      <c r="K138" s="243"/>
      <c r="L138" s="243"/>
      <c r="M138" s="243"/>
      <c r="N138" s="243"/>
      <c r="O138" s="243"/>
      <c r="P138" s="244"/>
    </row>
    <row r="139" spans="2:16" ht="26.25" x14ac:dyDescent="0.25">
      <c r="B139" s="17">
        <f t="shared" si="2"/>
        <v>13</v>
      </c>
      <c r="C139" s="223" t="s">
        <v>533</v>
      </c>
      <c r="D139" s="45" t="s">
        <v>934</v>
      </c>
      <c r="E139" s="254">
        <f t="shared" si="7"/>
        <v>0</v>
      </c>
      <c r="F139" s="254">
        <f t="shared" si="8"/>
        <v>0</v>
      </c>
      <c r="G139" s="254">
        <f t="shared" si="9"/>
        <v>0</v>
      </c>
      <c r="H139" s="233" t="s">
        <v>328</v>
      </c>
      <c r="I139" s="248" t="s">
        <v>1033</v>
      </c>
      <c r="J139" s="252" t="s">
        <v>659</v>
      </c>
      <c r="K139" s="243"/>
      <c r="L139" s="243"/>
      <c r="M139" s="243"/>
      <c r="N139" s="243"/>
      <c r="O139" s="243"/>
      <c r="P139" s="244"/>
    </row>
    <row r="140" spans="2:16" ht="26.25" x14ac:dyDescent="0.25">
      <c r="B140" s="17">
        <f t="shared" si="2"/>
        <v>13</v>
      </c>
      <c r="C140" s="224" t="s">
        <v>534</v>
      </c>
      <c r="D140" s="45" t="s">
        <v>935</v>
      </c>
      <c r="E140" s="254">
        <f t="shared" si="7"/>
        <v>0</v>
      </c>
      <c r="F140" s="254">
        <f t="shared" si="8"/>
        <v>0</v>
      </c>
      <c r="G140" s="254">
        <f t="shared" si="9"/>
        <v>0</v>
      </c>
      <c r="H140" s="233" t="s">
        <v>328</v>
      </c>
      <c r="I140" s="248" t="s">
        <v>1033</v>
      </c>
      <c r="J140" s="252" t="s">
        <v>660</v>
      </c>
      <c r="K140" s="243"/>
      <c r="L140" s="243"/>
      <c r="M140" s="243"/>
      <c r="N140" s="243"/>
      <c r="O140" s="243"/>
      <c r="P140" s="244"/>
    </row>
    <row r="141" spans="2:16" ht="26.25" x14ac:dyDescent="0.25">
      <c r="B141" s="17">
        <f t="shared" si="2"/>
        <v>13</v>
      </c>
      <c r="C141" s="223" t="s">
        <v>535</v>
      </c>
      <c r="D141" s="45" t="s">
        <v>936</v>
      </c>
      <c r="E141" s="254">
        <f t="shared" si="7"/>
        <v>0</v>
      </c>
      <c r="F141" s="254">
        <f t="shared" si="8"/>
        <v>0</v>
      </c>
      <c r="G141" s="254">
        <f t="shared" si="9"/>
        <v>0</v>
      </c>
      <c r="H141" s="233" t="s">
        <v>328</v>
      </c>
      <c r="I141" s="248" t="s">
        <v>1033</v>
      </c>
      <c r="J141" s="252" t="s">
        <v>661</v>
      </c>
      <c r="K141" s="243"/>
      <c r="L141" s="243"/>
      <c r="M141" s="243"/>
      <c r="N141" s="243"/>
      <c r="O141" s="243"/>
      <c r="P141" s="244"/>
    </row>
    <row r="142" spans="2:16" ht="26.25" x14ac:dyDescent="0.25">
      <c r="B142" s="17">
        <f t="shared" si="2"/>
        <v>13</v>
      </c>
      <c r="C142" s="223" t="s">
        <v>536</v>
      </c>
      <c r="D142" s="45" t="s">
        <v>937</v>
      </c>
      <c r="E142" s="254">
        <f t="shared" si="7"/>
        <v>0</v>
      </c>
      <c r="F142" s="254">
        <f t="shared" si="8"/>
        <v>0</v>
      </c>
      <c r="G142" s="254">
        <f t="shared" si="9"/>
        <v>0</v>
      </c>
      <c r="H142" s="233" t="s">
        <v>328</v>
      </c>
      <c r="I142" s="248" t="s">
        <v>1033</v>
      </c>
      <c r="J142" s="252" t="s">
        <v>662</v>
      </c>
      <c r="K142" s="243"/>
      <c r="L142" s="243"/>
      <c r="M142" s="243"/>
      <c r="N142" s="243"/>
      <c r="O142" s="243"/>
      <c r="P142" s="244"/>
    </row>
    <row r="143" spans="2:16" ht="26.25" x14ac:dyDescent="0.25">
      <c r="B143" s="17">
        <f t="shared" si="2"/>
        <v>13</v>
      </c>
      <c r="C143" s="223" t="s">
        <v>537</v>
      </c>
      <c r="D143" s="45" t="s">
        <v>938</v>
      </c>
      <c r="E143" s="254">
        <f t="shared" si="7"/>
        <v>0</v>
      </c>
      <c r="F143" s="254">
        <f t="shared" si="8"/>
        <v>0</v>
      </c>
      <c r="G143" s="254">
        <f t="shared" si="9"/>
        <v>0</v>
      </c>
      <c r="H143" s="233" t="s">
        <v>328</v>
      </c>
      <c r="I143" s="248" t="s">
        <v>1033</v>
      </c>
      <c r="J143" s="252" t="s">
        <v>663</v>
      </c>
      <c r="K143" s="243"/>
      <c r="L143" s="243"/>
      <c r="M143" s="243"/>
      <c r="N143" s="243"/>
      <c r="O143" s="243"/>
      <c r="P143" s="244"/>
    </row>
    <row r="144" spans="2:16" ht="26.25" x14ac:dyDescent="0.25">
      <c r="B144" s="17">
        <f t="shared" si="2"/>
        <v>13</v>
      </c>
      <c r="C144" s="223" t="s">
        <v>538</v>
      </c>
      <c r="D144" s="45" t="s">
        <v>939</v>
      </c>
      <c r="E144" s="254">
        <f t="shared" si="7"/>
        <v>0</v>
      </c>
      <c r="F144" s="254">
        <f t="shared" si="8"/>
        <v>0</v>
      </c>
      <c r="G144" s="254">
        <f t="shared" si="9"/>
        <v>0</v>
      </c>
      <c r="H144" s="233" t="s">
        <v>328</v>
      </c>
      <c r="I144" s="248" t="s">
        <v>1033</v>
      </c>
      <c r="J144" s="252" t="s">
        <v>664</v>
      </c>
      <c r="K144" s="243"/>
      <c r="L144" s="243"/>
      <c r="M144" s="243"/>
      <c r="N144" s="243"/>
      <c r="O144" s="243"/>
      <c r="P144" s="244"/>
    </row>
    <row r="145" spans="2:16" ht="26.25" x14ac:dyDescent="0.25">
      <c r="B145" s="17">
        <f t="shared" si="2"/>
        <v>13</v>
      </c>
      <c r="C145" s="223" t="s">
        <v>539</v>
      </c>
      <c r="D145" s="45" t="s">
        <v>940</v>
      </c>
      <c r="E145" s="254">
        <f t="shared" si="7"/>
        <v>0</v>
      </c>
      <c r="F145" s="254">
        <f t="shared" si="8"/>
        <v>0</v>
      </c>
      <c r="G145" s="254">
        <f t="shared" si="9"/>
        <v>0</v>
      </c>
      <c r="H145" s="233" t="s">
        <v>328</v>
      </c>
      <c r="I145" s="248" t="s">
        <v>1033</v>
      </c>
      <c r="J145" s="252" t="s">
        <v>665</v>
      </c>
      <c r="K145" s="243"/>
      <c r="L145" s="243"/>
      <c r="M145" s="243"/>
      <c r="N145" s="243"/>
      <c r="O145" s="243"/>
      <c r="P145" s="244"/>
    </row>
    <row r="146" spans="2:16" ht="39" x14ac:dyDescent="0.25">
      <c r="B146" s="17">
        <f t="shared" si="2"/>
        <v>18</v>
      </c>
      <c r="C146" s="223" t="s">
        <v>540</v>
      </c>
      <c r="D146" s="45" t="s">
        <v>941</v>
      </c>
      <c r="E146" s="254">
        <f t="shared" si="7"/>
        <v>0</v>
      </c>
      <c r="F146" s="254">
        <f t="shared" si="8"/>
        <v>0</v>
      </c>
      <c r="G146" s="254">
        <f t="shared" si="9"/>
        <v>0</v>
      </c>
      <c r="H146" s="233" t="s">
        <v>328</v>
      </c>
      <c r="I146" s="248" t="s">
        <v>1033</v>
      </c>
      <c r="J146" s="252" t="s">
        <v>666</v>
      </c>
      <c r="K146" s="243"/>
      <c r="L146" s="243"/>
      <c r="M146" s="243"/>
      <c r="N146" s="243"/>
      <c r="O146" s="243"/>
      <c r="P146" s="244"/>
    </row>
    <row r="147" spans="2:16" ht="26.25" x14ac:dyDescent="0.25">
      <c r="B147" s="17">
        <f t="shared" si="2"/>
        <v>18</v>
      </c>
      <c r="C147" s="223" t="s">
        <v>541</v>
      </c>
      <c r="D147" s="45" t="s">
        <v>942</v>
      </c>
      <c r="E147" s="254">
        <f t="shared" si="7"/>
        <v>0</v>
      </c>
      <c r="F147" s="254">
        <f t="shared" si="8"/>
        <v>0</v>
      </c>
      <c r="G147" s="254">
        <f t="shared" si="9"/>
        <v>0</v>
      </c>
      <c r="H147" s="233" t="s">
        <v>328</v>
      </c>
      <c r="I147" s="248" t="s">
        <v>1033</v>
      </c>
      <c r="J147" s="252" t="s">
        <v>667</v>
      </c>
      <c r="K147" s="243"/>
      <c r="L147" s="243"/>
      <c r="M147" s="243"/>
      <c r="N147" s="243"/>
      <c r="O147" s="243"/>
      <c r="P147" s="244"/>
    </row>
    <row r="148" spans="2:16" ht="26.25" x14ac:dyDescent="0.25">
      <c r="B148" s="17">
        <f t="shared" si="2"/>
        <v>14</v>
      </c>
      <c r="C148" s="223" t="s">
        <v>542</v>
      </c>
      <c r="D148" s="45" t="s">
        <v>943</v>
      </c>
      <c r="E148" s="254">
        <f t="shared" si="7"/>
        <v>0</v>
      </c>
      <c r="F148" s="254">
        <f t="shared" si="8"/>
        <v>0</v>
      </c>
      <c r="G148" s="254">
        <f t="shared" si="9"/>
        <v>0</v>
      </c>
      <c r="H148" s="233" t="s">
        <v>328</v>
      </c>
      <c r="I148" s="248" t="s">
        <v>1033</v>
      </c>
      <c r="J148" s="252" t="s">
        <v>668</v>
      </c>
      <c r="K148" s="243"/>
      <c r="L148" s="243"/>
      <c r="M148" s="243"/>
      <c r="N148" s="243"/>
      <c r="O148" s="243"/>
      <c r="P148" s="244"/>
    </row>
    <row r="149" spans="2:16" ht="26.25" x14ac:dyDescent="0.25">
      <c r="B149" s="17">
        <f t="shared" si="2"/>
        <v>13</v>
      </c>
      <c r="C149" s="223" t="s">
        <v>543</v>
      </c>
      <c r="D149" s="45" t="s">
        <v>944</v>
      </c>
      <c r="E149" s="254">
        <f t="shared" si="7"/>
        <v>0</v>
      </c>
      <c r="F149" s="254">
        <f t="shared" si="8"/>
        <v>0</v>
      </c>
      <c r="G149" s="254">
        <f t="shared" si="9"/>
        <v>0</v>
      </c>
      <c r="H149" s="233" t="s">
        <v>328</v>
      </c>
      <c r="I149" s="248" t="s">
        <v>1033</v>
      </c>
      <c r="J149" s="252" t="s">
        <v>669</v>
      </c>
      <c r="K149" s="243"/>
      <c r="L149" s="243"/>
      <c r="M149" s="243"/>
      <c r="N149" s="243"/>
      <c r="O149" s="243"/>
      <c r="P149" s="244"/>
    </row>
    <row r="150" spans="2:16" ht="39" x14ac:dyDescent="0.25">
      <c r="B150" s="17">
        <f t="shared" si="2"/>
        <v>18</v>
      </c>
      <c r="C150" s="223" t="s">
        <v>544</v>
      </c>
      <c r="D150" s="45" t="s">
        <v>945</v>
      </c>
      <c r="E150" s="254">
        <f t="shared" si="7"/>
        <v>0</v>
      </c>
      <c r="F150" s="254">
        <f t="shared" si="8"/>
        <v>0</v>
      </c>
      <c r="G150" s="254">
        <f t="shared" si="9"/>
        <v>0</v>
      </c>
      <c r="H150" s="233" t="s">
        <v>328</v>
      </c>
      <c r="I150" s="248" t="s">
        <v>1033</v>
      </c>
      <c r="J150" s="252" t="s">
        <v>670</v>
      </c>
      <c r="K150" s="243"/>
      <c r="L150" s="243"/>
      <c r="M150" s="243"/>
      <c r="N150" s="243"/>
      <c r="O150" s="243"/>
      <c r="P150" s="244"/>
    </row>
    <row r="151" spans="2:16" ht="39" x14ac:dyDescent="0.25">
      <c r="B151" s="17">
        <f t="shared" si="2"/>
        <v>19</v>
      </c>
      <c r="C151" s="223" t="s">
        <v>545</v>
      </c>
      <c r="D151" s="45" t="s">
        <v>946</v>
      </c>
      <c r="E151" s="254">
        <f t="shared" si="7"/>
        <v>0</v>
      </c>
      <c r="F151" s="254">
        <f t="shared" si="8"/>
        <v>0</v>
      </c>
      <c r="G151" s="254">
        <f t="shared" si="9"/>
        <v>0</v>
      </c>
      <c r="H151" s="233" t="s">
        <v>328</v>
      </c>
      <c r="I151" s="248" t="s">
        <v>1033</v>
      </c>
      <c r="J151" s="252" t="s">
        <v>671</v>
      </c>
      <c r="K151" s="243"/>
      <c r="L151" s="243"/>
      <c r="M151" s="243"/>
      <c r="N151" s="243"/>
      <c r="O151" s="243"/>
      <c r="P151" s="244"/>
    </row>
    <row r="152" spans="2:16" ht="26.25" x14ac:dyDescent="0.25">
      <c r="B152" s="17">
        <f t="shared" si="2"/>
        <v>16</v>
      </c>
      <c r="C152" s="223" t="s">
        <v>546</v>
      </c>
      <c r="D152" s="45" t="s">
        <v>947</v>
      </c>
      <c r="E152" s="254">
        <f t="shared" si="7"/>
        <v>0</v>
      </c>
      <c r="F152" s="254">
        <f t="shared" si="8"/>
        <v>0</v>
      </c>
      <c r="G152" s="254">
        <f t="shared" si="9"/>
        <v>0</v>
      </c>
      <c r="H152" s="233" t="s">
        <v>328</v>
      </c>
      <c r="I152" s="248" t="s">
        <v>1033</v>
      </c>
      <c r="J152" s="252" t="s">
        <v>672</v>
      </c>
      <c r="K152" s="243"/>
      <c r="L152" s="243"/>
      <c r="M152" s="243"/>
      <c r="N152" s="243"/>
      <c r="O152" s="243"/>
      <c r="P152" s="244"/>
    </row>
    <row r="153" spans="2:16" ht="26.25" x14ac:dyDescent="0.25">
      <c r="B153" s="17">
        <f t="shared" si="2"/>
        <v>16</v>
      </c>
      <c r="C153" s="223" t="s">
        <v>547</v>
      </c>
      <c r="D153" s="45" t="s">
        <v>948</v>
      </c>
      <c r="E153" s="254">
        <f t="shared" si="7"/>
        <v>0</v>
      </c>
      <c r="F153" s="254">
        <f t="shared" si="8"/>
        <v>0</v>
      </c>
      <c r="G153" s="254">
        <f t="shared" si="9"/>
        <v>0</v>
      </c>
      <c r="H153" s="233" t="s">
        <v>328</v>
      </c>
      <c r="I153" s="248" t="s">
        <v>1033</v>
      </c>
      <c r="J153" s="252" t="s">
        <v>673</v>
      </c>
      <c r="K153" s="243"/>
      <c r="L153" s="243"/>
      <c r="M153" s="243"/>
      <c r="N153" s="243"/>
      <c r="O153" s="243"/>
      <c r="P153" s="244"/>
    </row>
    <row r="154" spans="2:16" ht="39" x14ac:dyDescent="0.25">
      <c r="B154" s="17">
        <f t="shared" si="2"/>
        <v>18</v>
      </c>
      <c r="C154" s="224" t="s">
        <v>548</v>
      </c>
      <c r="D154" s="45" t="s">
        <v>949</v>
      </c>
      <c r="E154" s="254">
        <f t="shared" si="7"/>
        <v>0</v>
      </c>
      <c r="F154" s="254">
        <f t="shared" si="8"/>
        <v>0</v>
      </c>
      <c r="G154" s="254">
        <f t="shared" si="9"/>
        <v>0</v>
      </c>
      <c r="H154" s="233" t="s">
        <v>328</v>
      </c>
      <c r="I154" s="248" t="s">
        <v>1033</v>
      </c>
      <c r="J154" s="252" t="s">
        <v>674</v>
      </c>
      <c r="K154" s="243"/>
      <c r="L154" s="243"/>
      <c r="M154" s="243"/>
      <c r="N154" s="243"/>
      <c r="O154" s="243"/>
      <c r="P154" s="244"/>
    </row>
    <row r="155" spans="2:16" ht="26.25" x14ac:dyDescent="0.25">
      <c r="B155" s="17">
        <f t="shared" si="2"/>
        <v>18</v>
      </c>
      <c r="C155" s="224" t="s">
        <v>549</v>
      </c>
      <c r="D155" s="45" t="s">
        <v>950</v>
      </c>
      <c r="E155" s="254">
        <f t="shared" si="7"/>
        <v>0</v>
      </c>
      <c r="F155" s="254">
        <f t="shared" si="8"/>
        <v>0</v>
      </c>
      <c r="G155" s="254">
        <f t="shared" si="9"/>
        <v>0</v>
      </c>
      <c r="H155" s="233" t="s">
        <v>328</v>
      </c>
      <c r="I155" s="248" t="s">
        <v>1033</v>
      </c>
      <c r="J155" s="252" t="s">
        <v>675</v>
      </c>
      <c r="K155" s="243"/>
      <c r="L155" s="243"/>
      <c r="M155" s="243"/>
      <c r="N155" s="243"/>
      <c r="O155" s="243"/>
      <c r="P155" s="244"/>
    </row>
    <row r="156" spans="2:16" ht="26.25" x14ac:dyDescent="0.25">
      <c r="B156" s="17">
        <f t="shared" si="2"/>
        <v>14</v>
      </c>
      <c r="C156" s="224" t="s">
        <v>550</v>
      </c>
      <c r="D156" s="45" t="s">
        <v>951</v>
      </c>
      <c r="E156" s="254">
        <f t="shared" si="7"/>
        <v>0</v>
      </c>
      <c r="F156" s="254">
        <f t="shared" si="8"/>
        <v>0</v>
      </c>
      <c r="G156" s="254">
        <f t="shared" si="9"/>
        <v>0</v>
      </c>
      <c r="H156" s="233" t="s">
        <v>328</v>
      </c>
      <c r="I156" s="248" t="s">
        <v>1033</v>
      </c>
      <c r="J156" s="252" t="s">
        <v>676</v>
      </c>
      <c r="K156" s="243"/>
      <c r="L156" s="243"/>
      <c r="M156" s="243"/>
      <c r="N156" s="243"/>
      <c r="O156" s="243"/>
      <c r="P156" s="244"/>
    </row>
    <row r="157" spans="2:16" ht="26.25" x14ac:dyDescent="0.25">
      <c r="B157" s="17"/>
      <c r="C157" s="223" t="s">
        <v>551</v>
      </c>
      <c r="D157" s="45" t="s">
        <v>952</v>
      </c>
      <c r="E157" s="254">
        <f t="shared" ref="E157:E188" si="10">($E$87*E26/(10^6))*$E$82*$E$83*$E$84/($E$93*$E$23)</f>
        <v>1.7799737082431989E-7</v>
      </c>
      <c r="F157" s="254">
        <f t="shared" ref="F157:F188" si="11">($F$87*F26/(10^6))*$F$82*$F$83*$F$84/($F$93*$F$23)</f>
        <v>1.2923424253136037E-9</v>
      </c>
      <c r="G157" s="254">
        <f t="shared" ref="G157:G188" si="12">($G$87*G26/(10^6))*$G$82*$G$83*$G$84/($G$93*$G$23)</f>
        <v>5.5444717143669725E-6</v>
      </c>
      <c r="H157" s="233" t="s">
        <v>328</v>
      </c>
      <c r="I157" s="248" t="s">
        <v>1033</v>
      </c>
      <c r="J157" s="252" t="s">
        <v>677</v>
      </c>
      <c r="K157" s="249"/>
      <c r="L157" s="249"/>
      <c r="M157" s="249"/>
      <c r="N157" s="249"/>
      <c r="O157" s="249"/>
      <c r="P157" s="250"/>
    </row>
    <row r="158" spans="2:16" ht="26.25" x14ac:dyDescent="0.25">
      <c r="B158" s="17"/>
      <c r="C158" s="223" t="s">
        <v>552</v>
      </c>
      <c r="D158" s="45" t="s">
        <v>953</v>
      </c>
      <c r="E158" s="254">
        <f t="shared" si="10"/>
        <v>0</v>
      </c>
      <c r="F158" s="254">
        <f t="shared" si="11"/>
        <v>0</v>
      </c>
      <c r="G158" s="254">
        <f t="shared" si="12"/>
        <v>0</v>
      </c>
      <c r="H158" s="233" t="s">
        <v>328</v>
      </c>
      <c r="I158" s="248" t="s">
        <v>1033</v>
      </c>
      <c r="J158" s="252" t="s">
        <v>678</v>
      </c>
      <c r="K158" s="249"/>
      <c r="L158" s="249"/>
      <c r="M158" s="249"/>
      <c r="N158" s="249"/>
      <c r="O158" s="249"/>
      <c r="P158" s="250"/>
    </row>
    <row r="159" spans="2:16" ht="26.25" x14ac:dyDescent="0.25">
      <c r="B159" s="17"/>
      <c r="C159" s="223" t="s">
        <v>553</v>
      </c>
      <c r="D159" s="45" t="s">
        <v>954</v>
      </c>
      <c r="E159" s="254">
        <f t="shared" si="10"/>
        <v>0</v>
      </c>
      <c r="F159" s="254">
        <f t="shared" si="11"/>
        <v>0</v>
      </c>
      <c r="G159" s="254">
        <f t="shared" si="12"/>
        <v>0</v>
      </c>
      <c r="H159" s="233" t="s">
        <v>328</v>
      </c>
      <c r="I159" s="248" t="s">
        <v>1033</v>
      </c>
      <c r="J159" s="252" t="s">
        <v>679</v>
      </c>
      <c r="K159" s="249"/>
      <c r="L159" s="249"/>
      <c r="M159" s="249"/>
      <c r="N159" s="249"/>
      <c r="O159" s="249"/>
      <c r="P159" s="250"/>
    </row>
    <row r="160" spans="2:16" ht="26.25" x14ac:dyDescent="0.25">
      <c r="B160" s="17"/>
      <c r="C160" s="223" t="s">
        <v>554</v>
      </c>
      <c r="D160" s="45" t="s">
        <v>955</v>
      </c>
      <c r="E160" s="254">
        <f t="shared" si="10"/>
        <v>0</v>
      </c>
      <c r="F160" s="254">
        <f t="shared" si="11"/>
        <v>0</v>
      </c>
      <c r="G160" s="254">
        <f t="shared" si="12"/>
        <v>0</v>
      </c>
      <c r="H160" s="233" t="s">
        <v>328</v>
      </c>
      <c r="I160" s="248" t="s">
        <v>1033</v>
      </c>
      <c r="J160" s="252" t="s">
        <v>680</v>
      </c>
      <c r="K160" s="249"/>
      <c r="L160" s="249"/>
      <c r="M160" s="249"/>
      <c r="N160" s="249"/>
      <c r="O160" s="249"/>
      <c r="P160" s="250"/>
    </row>
    <row r="161" spans="2:16" ht="26.25" x14ac:dyDescent="0.25">
      <c r="B161" s="17"/>
      <c r="C161" s="223" t="s">
        <v>555</v>
      </c>
      <c r="D161" s="45" t="s">
        <v>956</v>
      </c>
      <c r="E161" s="254">
        <f t="shared" si="10"/>
        <v>0</v>
      </c>
      <c r="F161" s="254">
        <f t="shared" si="11"/>
        <v>0</v>
      </c>
      <c r="G161" s="254">
        <f t="shared" si="12"/>
        <v>0</v>
      </c>
      <c r="H161" s="233" t="s">
        <v>328</v>
      </c>
      <c r="I161" s="248" t="s">
        <v>1033</v>
      </c>
      <c r="J161" s="252" t="s">
        <v>681</v>
      </c>
      <c r="K161" s="249"/>
      <c r="L161" s="249"/>
      <c r="M161" s="249"/>
      <c r="N161" s="249"/>
      <c r="O161" s="249"/>
      <c r="P161" s="250"/>
    </row>
    <row r="162" spans="2:16" ht="26.25" x14ac:dyDescent="0.25">
      <c r="B162" s="17"/>
      <c r="C162" s="223" t="s">
        <v>556</v>
      </c>
      <c r="D162" s="45" t="s">
        <v>957</v>
      </c>
      <c r="E162" s="254">
        <f t="shared" si="10"/>
        <v>0</v>
      </c>
      <c r="F162" s="254">
        <f t="shared" si="11"/>
        <v>0</v>
      </c>
      <c r="G162" s="254">
        <f t="shared" si="12"/>
        <v>0</v>
      </c>
      <c r="H162" s="233" t="s">
        <v>328</v>
      </c>
      <c r="I162" s="248" t="s">
        <v>1033</v>
      </c>
      <c r="J162" s="252" t="s">
        <v>682</v>
      </c>
      <c r="K162" s="249"/>
      <c r="L162" s="249"/>
      <c r="M162" s="249"/>
      <c r="N162" s="249"/>
      <c r="O162" s="249"/>
      <c r="P162" s="250"/>
    </row>
    <row r="163" spans="2:16" ht="26.25" x14ac:dyDescent="0.25">
      <c r="B163" s="17"/>
      <c r="C163" s="223" t="s">
        <v>557</v>
      </c>
      <c r="D163" s="45" t="s">
        <v>958</v>
      </c>
      <c r="E163" s="254">
        <f t="shared" si="10"/>
        <v>0</v>
      </c>
      <c r="F163" s="254">
        <f t="shared" si="11"/>
        <v>0</v>
      </c>
      <c r="G163" s="254">
        <f t="shared" si="12"/>
        <v>0</v>
      </c>
      <c r="H163" s="233" t="s">
        <v>328</v>
      </c>
      <c r="I163" s="248" t="s">
        <v>1033</v>
      </c>
      <c r="J163" s="252" t="s">
        <v>683</v>
      </c>
      <c r="K163" s="249"/>
      <c r="L163" s="249"/>
      <c r="M163" s="249"/>
      <c r="N163" s="249"/>
      <c r="O163" s="249"/>
      <c r="P163" s="250"/>
    </row>
    <row r="164" spans="2:16" ht="26.25" x14ac:dyDescent="0.25">
      <c r="B164" s="17"/>
      <c r="C164" s="223" t="s">
        <v>558</v>
      </c>
      <c r="D164" s="45" t="s">
        <v>959</v>
      </c>
      <c r="E164" s="254">
        <f t="shared" si="10"/>
        <v>0</v>
      </c>
      <c r="F164" s="254">
        <f t="shared" si="11"/>
        <v>0</v>
      </c>
      <c r="G164" s="254">
        <f t="shared" si="12"/>
        <v>0</v>
      </c>
      <c r="H164" s="233" t="s">
        <v>328</v>
      </c>
      <c r="I164" s="248" t="s">
        <v>1033</v>
      </c>
      <c r="J164" s="252" t="s">
        <v>684</v>
      </c>
      <c r="K164" s="249"/>
      <c r="L164" s="249"/>
      <c r="M164" s="249"/>
      <c r="N164" s="249"/>
      <c r="O164" s="249"/>
      <c r="P164" s="250"/>
    </row>
    <row r="165" spans="2:16" ht="26.25" x14ac:dyDescent="0.25">
      <c r="B165" s="17"/>
      <c r="C165" s="223" t="s">
        <v>559</v>
      </c>
      <c r="D165" s="45" t="s">
        <v>960</v>
      </c>
      <c r="E165" s="254">
        <f t="shared" si="10"/>
        <v>0</v>
      </c>
      <c r="F165" s="254">
        <f t="shared" si="11"/>
        <v>0</v>
      </c>
      <c r="G165" s="254">
        <f t="shared" si="12"/>
        <v>0</v>
      </c>
      <c r="H165" s="233" t="s">
        <v>328</v>
      </c>
      <c r="I165" s="248" t="s">
        <v>1033</v>
      </c>
      <c r="J165" s="252" t="s">
        <v>685</v>
      </c>
      <c r="K165" s="249"/>
      <c r="L165" s="249"/>
      <c r="M165" s="249"/>
      <c r="N165" s="249"/>
      <c r="O165" s="249"/>
      <c r="P165" s="250"/>
    </row>
    <row r="166" spans="2:16" ht="26.25" x14ac:dyDescent="0.25">
      <c r="B166" s="17"/>
      <c r="C166" s="223" t="s">
        <v>560</v>
      </c>
      <c r="D166" s="45" t="s">
        <v>961</v>
      </c>
      <c r="E166" s="254">
        <f t="shared" si="10"/>
        <v>5.6904950468776271E-9</v>
      </c>
      <c r="F166" s="254">
        <f t="shared" si="11"/>
        <v>3.9508449041527573E-11</v>
      </c>
      <c r="G166" s="254">
        <f t="shared" si="12"/>
        <v>1.8356879849451467E-7</v>
      </c>
      <c r="H166" s="233" t="s">
        <v>328</v>
      </c>
      <c r="I166" s="248" t="s">
        <v>1033</v>
      </c>
      <c r="J166" s="252" t="s">
        <v>686</v>
      </c>
      <c r="K166" s="249"/>
      <c r="L166" s="249"/>
      <c r="M166" s="249"/>
      <c r="N166" s="249"/>
      <c r="O166" s="249"/>
      <c r="P166" s="250"/>
    </row>
    <row r="167" spans="2:16" ht="26.25" x14ac:dyDescent="0.25">
      <c r="B167" s="17"/>
      <c r="C167" s="223" t="s">
        <v>561</v>
      </c>
      <c r="D167" s="45" t="s">
        <v>962</v>
      </c>
      <c r="E167" s="254">
        <f t="shared" si="10"/>
        <v>0</v>
      </c>
      <c r="F167" s="254">
        <f t="shared" si="11"/>
        <v>0</v>
      </c>
      <c r="G167" s="254">
        <f t="shared" si="12"/>
        <v>0</v>
      </c>
      <c r="H167" s="233" t="s">
        <v>328</v>
      </c>
      <c r="I167" s="248" t="s">
        <v>1033</v>
      </c>
      <c r="J167" s="252" t="s">
        <v>687</v>
      </c>
      <c r="K167" s="249"/>
      <c r="L167" s="249"/>
      <c r="M167" s="249"/>
      <c r="N167" s="249"/>
      <c r="O167" s="249"/>
      <c r="P167" s="250"/>
    </row>
    <row r="168" spans="2:16" ht="26.25" x14ac:dyDescent="0.25">
      <c r="B168" s="17"/>
      <c r="C168" s="223" t="s">
        <v>562</v>
      </c>
      <c r="D168" s="45" t="s">
        <v>963</v>
      </c>
      <c r="E168" s="254">
        <f t="shared" si="10"/>
        <v>9.7309865060507272E-8</v>
      </c>
      <c r="F168" s="254">
        <f t="shared" si="11"/>
        <v>7.005269414072746E-10</v>
      </c>
      <c r="G168" s="254">
        <f t="shared" si="12"/>
        <v>3.0520429236290724E-6</v>
      </c>
      <c r="H168" s="233" t="s">
        <v>328</v>
      </c>
      <c r="I168" s="248" t="s">
        <v>1033</v>
      </c>
      <c r="J168" s="252" t="s">
        <v>688</v>
      </c>
      <c r="K168" s="249"/>
      <c r="L168" s="249"/>
      <c r="M168" s="249"/>
      <c r="N168" s="249"/>
      <c r="O168" s="249"/>
      <c r="P168" s="250"/>
    </row>
    <row r="169" spans="2:16" ht="26.25" x14ac:dyDescent="0.25">
      <c r="B169" s="17"/>
      <c r="C169" s="223" t="s">
        <v>563</v>
      </c>
      <c r="D169" s="45" t="s">
        <v>964</v>
      </c>
      <c r="E169" s="254">
        <f t="shared" si="10"/>
        <v>0</v>
      </c>
      <c r="F169" s="254">
        <f t="shared" si="11"/>
        <v>0</v>
      </c>
      <c r="G169" s="254">
        <f t="shared" si="12"/>
        <v>0</v>
      </c>
      <c r="H169" s="233" t="s">
        <v>328</v>
      </c>
      <c r="I169" s="248" t="s">
        <v>1033</v>
      </c>
      <c r="J169" s="252" t="s">
        <v>689</v>
      </c>
      <c r="K169" s="249"/>
      <c r="L169" s="249"/>
      <c r="M169" s="249"/>
      <c r="N169" s="249"/>
      <c r="O169" s="249"/>
      <c r="P169" s="250"/>
    </row>
    <row r="170" spans="2:16" ht="26.25" x14ac:dyDescent="0.25">
      <c r="B170" s="17"/>
      <c r="C170" s="223" t="s">
        <v>564</v>
      </c>
      <c r="D170" s="45" t="s">
        <v>965</v>
      </c>
      <c r="E170" s="254">
        <f t="shared" si="10"/>
        <v>0</v>
      </c>
      <c r="F170" s="254">
        <f t="shared" si="11"/>
        <v>0</v>
      </c>
      <c r="G170" s="254">
        <f t="shared" si="12"/>
        <v>0</v>
      </c>
      <c r="H170" s="233" t="s">
        <v>328</v>
      </c>
      <c r="I170" s="248" t="s">
        <v>1033</v>
      </c>
      <c r="J170" s="252" t="s">
        <v>690</v>
      </c>
      <c r="K170" s="249"/>
      <c r="L170" s="249"/>
      <c r="M170" s="249"/>
      <c r="N170" s="249"/>
      <c r="O170" s="249"/>
      <c r="P170" s="250"/>
    </row>
    <row r="171" spans="2:16" ht="26.25" x14ac:dyDescent="0.25">
      <c r="B171" s="17"/>
      <c r="C171" s="223" t="s">
        <v>565</v>
      </c>
      <c r="D171" s="45" t="s">
        <v>966</v>
      </c>
      <c r="E171" s="254">
        <f t="shared" si="10"/>
        <v>0</v>
      </c>
      <c r="F171" s="254">
        <f t="shared" si="11"/>
        <v>0</v>
      </c>
      <c r="G171" s="254">
        <f t="shared" si="12"/>
        <v>0</v>
      </c>
      <c r="H171" s="233" t="s">
        <v>328</v>
      </c>
      <c r="I171" s="248" t="s">
        <v>1033</v>
      </c>
      <c r="J171" s="252" t="s">
        <v>691</v>
      </c>
      <c r="K171" s="249"/>
      <c r="L171" s="249"/>
      <c r="M171" s="249"/>
      <c r="N171" s="249"/>
      <c r="O171" s="249"/>
      <c r="P171" s="250"/>
    </row>
    <row r="172" spans="2:16" ht="26.25" x14ac:dyDescent="0.25">
      <c r="B172" s="17"/>
      <c r="C172" s="223" t="s">
        <v>566</v>
      </c>
      <c r="D172" s="45" t="s">
        <v>967</v>
      </c>
      <c r="E172" s="254">
        <f t="shared" si="10"/>
        <v>0</v>
      </c>
      <c r="F172" s="254">
        <f t="shared" si="11"/>
        <v>0</v>
      </c>
      <c r="G172" s="254">
        <f t="shared" si="12"/>
        <v>0</v>
      </c>
      <c r="H172" s="233" t="s">
        <v>328</v>
      </c>
      <c r="I172" s="248" t="s">
        <v>1033</v>
      </c>
      <c r="J172" s="252" t="s">
        <v>692</v>
      </c>
      <c r="K172" s="249"/>
      <c r="L172" s="249"/>
      <c r="M172" s="249"/>
      <c r="N172" s="249"/>
      <c r="O172" s="249"/>
      <c r="P172" s="250"/>
    </row>
    <row r="173" spans="2:16" ht="26.25" x14ac:dyDescent="0.25">
      <c r="B173" s="17"/>
      <c r="C173" s="223" t="s">
        <v>567</v>
      </c>
      <c r="D173" s="45" t="s">
        <v>968</v>
      </c>
      <c r="E173" s="254">
        <f t="shared" si="10"/>
        <v>0</v>
      </c>
      <c r="F173" s="254">
        <f t="shared" si="11"/>
        <v>0</v>
      </c>
      <c r="G173" s="254">
        <f t="shared" si="12"/>
        <v>0</v>
      </c>
      <c r="H173" s="233" t="s">
        <v>328</v>
      </c>
      <c r="I173" s="248" t="s">
        <v>1033</v>
      </c>
      <c r="J173" s="252" t="s">
        <v>693</v>
      </c>
      <c r="K173" s="249"/>
      <c r="L173" s="249"/>
      <c r="M173" s="249"/>
      <c r="N173" s="249"/>
      <c r="O173" s="249"/>
      <c r="P173" s="250"/>
    </row>
    <row r="174" spans="2:16" ht="26.25" x14ac:dyDescent="0.25">
      <c r="B174" s="17"/>
      <c r="C174" s="224" t="s">
        <v>568</v>
      </c>
      <c r="D174" s="45" t="s">
        <v>969</v>
      </c>
      <c r="E174" s="254">
        <f t="shared" si="10"/>
        <v>7.4227927394803841E-9</v>
      </c>
      <c r="F174" s="254">
        <f t="shared" si="11"/>
        <v>5.4524236779467328E-11</v>
      </c>
      <c r="G174" s="254">
        <f t="shared" si="12"/>
        <v>2.2900777945636436E-7</v>
      </c>
      <c r="H174" s="233" t="s">
        <v>328</v>
      </c>
      <c r="I174" s="248" t="s">
        <v>1033</v>
      </c>
      <c r="J174" s="252" t="s">
        <v>694</v>
      </c>
      <c r="K174" s="249"/>
      <c r="L174" s="249"/>
      <c r="M174" s="249"/>
      <c r="N174" s="249"/>
      <c r="O174" s="249"/>
      <c r="P174" s="250"/>
    </row>
    <row r="175" spans="2:16" ht="26.25" x14ac:dyDescent="0.25">
      <c r="B175" s="17"/>
      <c r="C175" s="223" t="s">
        <v>569</v>
      </c>
      <c r="D175" s="45" t="s">
        <v>970</v>
      </c>
      <c r="E175" s="254">
        <f t="shared" si="10"/>
        <v>0</v>
      </c>
      <c r="F175" s="254">
        <f t="shared" si="11"/>
        <v>0</v>
      </c>
      <c r="G175" s="254">
        <f t="shared" si="12"/>
        <v>0</v>
      </c>
      <c r="H175" s="233" t="s">
        <v>328</v>
      </c>
      <c r="I175" s="248" t="s">
        <v>1033</v>
      </c>
      <c r="J175" s="252" t="s">
        <v>695</v>
      </c>
      <c r="K175" s="249"/>
      <c r="L175" s="249"/>
      <c r="M175" s="249"/>
      <c r="N175" s="249"/>
      <c r="O175" s="249"/>
      <c r="P175" s="250"/>
    </row>
    <row r="176" spans="2:16" ht="26.25" x14ac:dyDescent="0.25">
      <c r="B176" s="17"/>
      <c r="C176" s="224" t="s">
        <v>570</v>
      </c>
      <c r="D176" s="45" t="s">
        <v>971</v>
      </c>
      <c r="E176" s="254">
        <f t="shared" si="10"/>
        <v>0</v>
      </c>
      <c r="F176" s="254">
        <f t="shared" si="11"/>
        <v>0</v>
      </c>
      <c r="G176" s="254">
        <f t="shared" si="12"/>
        <v>0</v>
      </c>
      <c r="H176" s="233" t="s">
        <v>328</v>
      </c>
      <c r="I176" s="248" t="s">
        <v>1033</v>
      </c>
      <c r="J176" s="252" t="s">
        <v>696</v>
      </c>
      <c r="K176" s="249"/>
      <c r="L176" s="249"/>
      <c r="M176" s="249"/>
      <c r="N176" s="249"/>
      <c r="O176" s="249"/>
      <c r="P176" s="250"/>
    </row>
    <row r="177" spans="2:16" ht="26.25" x14ac:dyDescent="0.25">
      <c r="B177" s="17"/>
      <c r="C177" s="223" t="s">
        <v>571</v>
      </c>
      <c r="D177" s="45" t="s">
        <v>972</v>
      </c>
      <c r="E177" s="254">
        <f t="shared" si="10"/>
        <v>3.8548051070244404E-9</v>
      </c>
      <c r="F177" s="254">
        <f t="shared" si="11"/>
        <v>1.7922659583083367E-11</v>
      </c>
      <c r="G177" s="254">
        <f t="shared" si="12"/>
        <v>1.5524316037359866E-7</v>
      </c>
      <c r="H177" s="233" t="s">
        <v>328</v>
      </c>
      <c r="I177" s="248" t="s">
        <v>1033</v>
      </c>
      <c r="J177" s="252" t="s">
        <v>697</v>
      </c>
      <c r="K177" s="249"/>
      <c r="L177" s="249"/>
      <c r="M177" s="249"/>
      <c r="N177" s="249"/>
      <c r="O177" s="249"/>
      <c r="P177" s="250"/>
    </row>
    <row r="178" spans="2:16" ht="26.25" x14ac:dyDescent="0.25">
      <c r="B178" s="17"/>
      <c r="C178" s="223" t="s">
        <v>572</v>
      </c>
      <c r="D178" s="45" t="s">
        <v>973</v>
      </c>
      <c r="E178" s="254">
        <f t="shared" si="10"/>
        <v>0</v>
      </c>
      <c r="F178" s="254">
        <f t="shared" si="11"/>
        <v>0</v>
      </c>
      <c r="G178" s="254">
        <f t="shared" si="12"/>
        <v>0</v>
      </c>
      <c r="H178" s="233" t="s">
        <v>328</v>
      </c>
      <c r="I178" s="248" t="s">
        <v>1033</v>
      </c>
      <c r="J178" s="252" t="s">
        <v>698</v>
      </c>
      <c r="K178" s="249"/>
      <c r="L178" s="249"/>
      <c r="M178" s="249"/>
      <c r="N178" s="249"/>
      <c r="O178" s="249"/>
      <c r="P178" s="250"/>
    </row>
    <row r="179" spans="2:16" ht="26.25" x14ac:dyDescent="0.25">
      <c r="B179" s="17"/>
      <c r="C179" s="223" t="s">
        <v>573</v>
      </c>
      <c r="D179" s="45" t="s">
        <v>974</v>
      </c>
      <c r="E179" s="254">
        <f t="shared" si="10"/>
        <v>1.2934455309342201E-9</v>
      </c>
      <c r="F179" s="254">
        <f t="shared" si="11"/>
        <v>8.7626602778723935E-12</v>
      </c>
      <c r="G179" s="254">
        <f t="shared" si="12"/>
        <v>4.2485337042173418E-8</v>
      </c>
      <c r="H179" s="233" t="s">
        <v>328</v>
      </c>
      <c r="I179" s="248" t="s">
        <v>1033</v>
      </c>
      <c r="J179" s="252" t="s">
        <v>699</v>
      </c>
      <c r="K179" s="249"/>
      <c r="L179" s="249"/>
      <c r="M179" s="249"/>
      <c r="N179" s="249"/>
      <c r="O179" s="249"/>
      <c r="P179" s="250"/>
    </row>
    <row r="180" spans="2:16" ht="26.25" x14ac:dyDescent="0.25">
      <c r="B180" s="17"/>
      <c r="C180" s="223" t="s">
        <v>574</v>
      </c>
      <c r="D180" s="45" t="s">
        <v>975</v>
      </c>
      <c r="E180" s="254">
        <f t="shared" si="10"/>
        <v>0</v>
      </c>
      <c r="F180" s="254">
        <f t="shared" si="11"/>
        <v>0</v>
      </c>
      <c r="G180" s="254">
        <f t="shared" si="12"/>
        <v>0</v>
      </c>
      <c r="H180" s="233" t="s">
        <v>328</v>
      </c>
      <c r="I180" s="248" t="s">
        <v>1033</v>
      </c>
      <c r="J180" s="252" t="s">
        <v>700</v>
      </c>
      <c r="K180" s="249"/>
      <c r="L180" s="249"/>
      <c r="M180" s="249"/>
      <c r="N180" s="249"/>
      <c r="O180" s="249"/>
      <c r="P180" s="250"/>
    </row>
    <row r="181" spans="2:16" ht="26.25" x14ac:dyDescent="0.25">
      <c r="B181" s="17"/>
      <c r="C181" s="223" t="s">
        <v>575</v>
      </c>
      <c r="D181" s="45" t="s">
        <v>976</v>
      </c>
      <c r="E181" s="254">
        <f t="shared" si="10"/>
        <v>0</v>
      </c>
      <c r="F181" s="254">
        <f t="shared" si="11"/>
        <v>0</v>
      </c>
      <c r="G181" s="254">
        <f t="shared" si="12"/>
        <v>0</v>
      </c>
      <c r="H181" s="233" t="s">
        <v>328</v>
      </c>
      <c r="I181" s="248" t="s">
        <v>1033</v>
      </c>
      <c r="J181" s="252" t="s">
        <v>701</v>
      </c>
      <c r="K181" s="249"/>
      <c r="L181" s="249"/>
      <c r="M181" s="249"/>
      <c r="N181" s="249"/>
      <c r="O181" s="249"/>
      <c r="P181" s="250"/>
    </row>
    <row r="182" spans="2:16" ht="26.25" x14ac:dyDescent="0.25">
      <c r="B182" s="17"/>
      <c r="C182" s="223" t="s">
        <v>576</v>
      </c>
      <c r="D182" s="45" t="s">
        <v>977</v>
      </c>
      <c r="E182" s="254">
        <f t="shared" si="10"/>
        <v>0</v>
      </c>
      <c r="F182" s="254">
        <f t="shared" si="11"/>
        <v>0</v>
      </c>
      <c r="G182" s="254">
        <f t="shared" si="12"/>
        <v>0</v>
      </c>
      <c r="H182" s="233" t="s">
        <v>328</v>
      </c>
      <c r="I182" s="248" t="s">
        <v>1033</v>
      </c>
      <c r="J182" s="252" t="s">
        <v>702</v>
      </c>
      <c r="K182" s="249"/>
      <c r="L182" s="249"/>
      <c r="M182" s="249"/>
      <c r="N182" s="249"/>
      <c r="O182" s="249"/>
      <c r="P182" s="250"/>
    </row>
    <row r="183" spans="2:16" ht="26.25" x14ac:dyDescent="0.25">
      <c r="B183" s="17"/>
      <c r="C183" s="223" t="s">
        <v>577</v>
      </c>
      <c r="D183" s="45" t="s">
        <v>978</v>
      </c>
      <c r="E183" s="254">
        <f t="shared" si="10"/>
        <v>0</v>
      </c>
      <c r="F183" s="254">
        <f t="shared" si="11"/>
        <v>0</v>
      </c>
      <c r="G183" s="254">
        <f t="shared" si="12"/>
        <v>0</v>
      </c>
      <c r="H183" s="233" t="s">
        <v>328</v>
      </c>
      <c r="I183" s="248" t="s">
        <v>1033</v>
      </c>
      <c r="J183" s="252" t="s">
        <v>703</v>
      </c>
      <c r="K183" s="249"/>
      <c r="L183" s="249"/>
      <c r="M183" s="249"/>
      <c r="N183" s="249"/>
      <c r="O183" s="249"/>
      <c r="P183" s="250"/>
    </row>
    <row r="184" spans="2:16" ht="26.25" x14ac:dyDescent="0.25">
      <c r="B184" s="17"/>
      <c r="C184" s="223" t="s">
        <v>578</v>
      </c>
      <c r="D184" s="45" t="s">
        <v>979</v>
      </c>
      <c r="E184" s="254">
        <f t="shared" si="10"/>
        <v>0</v>
      </c>
      <c r="F184" s="254">
        <f t="shared" si="11"/>
        <v>0</v>
      </c>
      <c r="G184" s="254">
        <f t="shared" si="12"/>
        <v>0</v>
      </c>
      <c r="H184" s="233" t="s">
        <v>328</v>
      </c>
      <c r="I184" s="248" t="s">
        <v>1033</v>
      </c>
      <c r="J184" s="252" t="s">
        <v>704</v>
      </c>
      <c r="K184" s="249"/>
      <c r="L184" s="249"/>
      <c r="M184" s="249"/>
      <c r="N184" s="249"/>
      <c r="O184" s="249"/>
      <c r="P184" s="250"/>
    </row>
    <row r="185" spans="2:16" ht="26.25" x14ac:dyDescent="0.25">
      <c r="B185" s="17"/>
      <c r="C185" s="223" t="s">
        <v>579</v>
      </c>
      <c r="D185" s="45" t="s">
        <v>980</v>
      </c>
      <c r="E185" s="254">
        <f t="shared" si="10"/>
        <v>0</v>
      </c>
      <c r="F185" s="254">
        <f t="shared" si="11"/>
        <v>0</v>
      </c>
      <c r="G185" s="254">
        <f t="shared" si="12"/>
        <v>0</v>
      </c>
      <c r="H185" s="233" t="s">
        <v>328</v>
      </c>
      <c r="I185" s="248" t="s">
        <v>1033</v>
      </c>
      <c r="J185" s="252" t="s">
        <v>705</v>
      </c>
      <c r="K185" s="249"/>
      <c r="L185" s="249"/>
      <c r="M185" s="249"/>
      <c r="N185" s="249"/>
      <c r="O185" s="249"/>
      <c r="P185" s="250"/>
    </row>
    <row r="186" spans="2:16" ht="26.25" x14ac:dyDescent="0.25">
      <c r="B186" s="17"/>
      <c r="C186" s="223" t="s">
        <v>580</v>
      </c>
      <c r="D186" s="45" t="s">
        <v>981</v>
      </c>
      <c r="E186" s="254">
        <f t="shared" si="10"/>
        <v>0</v>
      </c>
      <c r="F186" s="254">
        <f t="shared" si="11"/>
        <v>0</v>
      </c>
      <c r="G186" s="254">
        <f t="shared" si="12"/>
        <v>0</v>
      </c>
      <c r="H186" s="233" t="s">
        <v>328</v>
      </c>
      <c r="I186" s="248" t="s">
        <v>1033</v>
      </c>
      <c r="J186" s="252" t="s">
        <v>706</v>
      </c>
      <c r="K186" s="249"/>
      <c r="L186" s="249"/>
      <c r="M186" s="249"/>
      <c r="N186" s="249"/>
      <c r="O186" s="249"/>
      <c r="P186" s="250"/>
    </row>
    <row r="187" spans="2:16" ht="26.25" x14ac:dyDescent="0.25">
      <c r="B187" s="17"/>
      <c r="C187" s="223" t="s">
        <v>581</v>
      </c>
      <c r="D187" s="45" t="s">
        <v>982</v>
      </c>
      <c r="E187" s="254">
        <f t="shared" si="10"/>
        <v>5.8679470046818042E-8</v>
      </c>
      <c r="F187" s="254">
        <f t="shared" si="11"/>
        <v>4.2664200990564381E-10</v>
      </c>
      <c r="G187" s="254">
        <f t="shared" si="12"/>
        <v>1.8257130736766703E-6</v>
      </c>
      <c r="H187" s="233" t="s">
        <v>328</v>
      </c>
      <c r="I187" s="248" t="s">
        <v>1033</v>
      </c>
      <c r="J187" s="252" t="s">
        <v>707</v>
      </c>
      <c r="K187" s="249"/>
      <c r="L187" s="249"/>
      <c r="M187" s="249"/>
      <c r="N187" s="249"/>
      <c r="O187" s="249"/>
      <c r="P187" s="250"/>
    </row>
    <row r="188" spans="2:16" ht="26.25" x14ac:dyDescent="0.25">
      <c r="B188" s="17"/>
      <c r="C188" s="223" t="s">
        <v>582</v>
      </c>
      <c r="D188" s="45" t="s">
        <v>983</v>
      </c>
      <c r="E188" s="254">
        <f t="shared" si="10"/>
        <v>0</v>
      </c>
      <c r="F188" s="254">
        <f t="shared" si="11"/>
        <v>0</v>
      </c>
      <c r="G188" s="254">
        <f t="shared" si="12"/>
        <v>0</v>
      </c>
      <c r="H188" s="233" t="s">
        <v>328</v>
      </c>
      <c r="I188" s="248" t="s">
        <v>1033</v>
      </c>
      <c r="J188" s="252" t="s">
        <v>708</v>
      </c>
      <c r="K188" s="249"/>
      <c r="L188" s="249"/>
      <c r="M188" s="249"/>
      <c r="N188" s="249"/>
      <c r="O188" s="249"/>
      <c r="P188" s="250"/>
    </row>
    <row r="189" spans="2:16" ht="26.25" x14ac:dyDescent="0.25">
      <c r="B189" s="17"/>
      <c r="C189" s="223" t="s">
        <v>583</v>
      </c>
      <c r="D189" s="45" t="s">
        <v>984</v>
      </c>
      <c r="E189" s="254">
        <f t="shared" ref="E189:E212" si="13">($E$87*E58/(10^6))*$E$82*$E$83*$E$84/($E$93*$E$23)</f>
        <v>0</v>
      </c>
      <c r="F189" s="254">
        <f t="shared" ref="F189:F212" si="14">($F$87*F58/(10^6))*$F$82*$F$83*$F$84/($F$93*$F$23)</f>
        <v>0</v>
      </c>
      <c r="G189" s="254">
        <f t="shared" ref="G189:G212" si="15">($G$87*G58/(10^6))*$G$82*$G$83*$G$84/($G$93*$G$23)</f>
        <v>0</v>
      </c>
      <c r="H189" s="233" t="s">
        <v>328</v>
      </c>
      <c r="I189" s="248" t="s">
        <v>1033</v>
      </c>
      <c r="J189" s="252" t="s">
        <v>709</v>
      </c>
      <c r="K189" s="249"/>
      <c r="L189" s="249"/>
      <c r="M189" s="249"/>
      <c r="N189" s="249"/>
      <c r="O189" s="249"/>
      <c r="P189" s="250"/>
    </row>
    <row r="190" spans="2:16" ht="26.25" x14ac:dyDescent="0.25">
      <c r="B190" s="17"/>
      <c r="C190" s="223" t="s">
        <v>584</v>
      </c>
      <c r="D190" s="45" t="s">
        <v>985</v>
      </c>
      <c r="E190" s="254">
        <f t="shared" si="13"/>
        <v>0</v>
      </c>
      <c r="F190" s="254">
        <f t="shared" si="14"/>
        <v>0</v>
      </c>
      <c r="G190" s="254">
        <f t="shared" si="15"/>
        <v>0</v>
      </c>
      <c r="H190" s="233" t="s">
        <v>328</v>
      </c>
      <c r="I190" s="248" t="s">
        <v>1033</v>
      </c>
      <c r="J190" s="252" t="s">
        <v>710</v>
      </c>
      <c r="K190" s="249"/>
      <c r="L190" s="249"/>
      <c r="M190" s="249"/>
      <c r="N190" s="249"/>
      <c r="O190" s="249"/>
      <c r="P190" s="250"/>
    </row>
    <row r="191" spans="2:16" ht="26.25" x14ac:dyDescent="0.25">
      <c r="B191" s="17"/>
      <c r="C191" s="223" t="s">
        <v>585</v>
      </c>
      <c r="D191" s="45" t="s">
        <v>986</v>
      </c>
      <c r="E191" s="254">
        <f t="shared" si="13"/>
        <v>0</v>
      </c>
      <c r="F191" s="254">
        <f t="shared" si="14"/>
        <v>0</v>
      </c>
      <c r="G191" s="254">
        <f t="shared" si="15"/>
        <v>0</v>
      </c>
      <c r="H191" s="233" t="s">
        <v>328</v>
      </c>
      <c r="I191" s="248" t="s">
        <v>1033</v>
      </c>
      <c r="J191" s="252" t="s">
        <v>711</v>
      </c>
      <c r="K191" s="249"/>
      <c r="L191" s="249"/>
      <c r="M191" s="249"/>
      <c r="N191" s="249"/>
      <c r="O191" s="249"/>
      <c r="P191" s="250"/>
    </row>
    <row r="192" spans="2:16" ht="26.25" x14ac:dyDescent="0.25">
      <c r="B192" s="17"/>
      <c r="C192" s="223" t="s">
        <v>586</v>
      </c>
      <c r="D192" s="45" t="s">
        <v>987</v>
      </c>
      <c r="E192" s="254">
        <f t="shared" si="13"/>
        <v>0</v>
      </c>
      <c r="F192" s="254">
        <f t="shared" si="14"/>
        <v>0</v>
      </c>
      <c r="G192" s="254">
        <f t="shared" si="15"/>
        <v>0</v>
      </c>
      <c r="H192" s="233" t="s">
        <v>328</v>
      </c>
      <c r="I192" s="248" t="s">
        <v>1033</v>
      </c>
      <c r="J192" s="252" t="s">
        <v>712</v>
      </c>
      <c r="K192" s="249"/>
      <c r="L192" s="249"/>
      <c r="M192" s="249"/>
      <c r="N192" s="249"/>
      <c r="O192" s="249"/>
      <c r="P192" s="250"/>
    </row>
    <row r="193" spans="2:16" ht="26.25" x14ac:dyDescent="0.25">
      <c r="B193" s="17"/>
      <c r="C193" s="223" t="s">
        <v>587</v>
      </c>
      <c r="D193" s="45" t="s">
        <v>988</v>
      </c>
      <c r="E193" s="254">
        <f t="shared" si="13"/>
        <v>4.6607040157951646E-9</v>
      </c>
      <c r="F193" s="254">
        <f t="shared" si="14"/>
        <v>3.2858383981067847E-11</v>
      </c>
      <c r="G193" s="254">
        <f t="shared" si="15"/>
        <v>1.4860303163699059E-7</v>
      </c>
      <c r="H193" s="233" t="s">
        <v>328</v>
      </c>
      <c r="I193" s="248" t="s">
        <v>1033</v>
      </c>
      <c r="J193" s="252" t="s">
        <v>713</v>
      </c>
      <c r="K193" s="249"/>
      <c r="L193" s="249"/>
      <c r="M193" s="249"/>
      <c r="N193" s="249"/>
      <c r="O193" s="249"/>
      <c r="P193" s="250"/>
    </row>
    <row r="194" spans="2:16" ht="26.25" x14ac:dyDescent="0.25">
      <c r="B194" s="17"/>
      <c r="C194" s="223" t="s">
        <v>588</v>
      </c>
      <c r="D194" s="45" t="s">
        <v>989</v>
      </c>
      <c r="E194" s="254">
        <f t="shared" si="13"/>
        <v>0</v>
      </c>
      <c r="F194" s="254">
        <f t="shared" si="14"/>
        <v>0</v>
      </c>
      <c r="G194" s="254">
        <f t="shared" si="15"/>
        <v>0</v>
      </c>
      <c r="H194" s="233" t="s">
        <v>328</v>
      </c>
      <c r="I194" s="248" t="s">
        <v>1033</v>
      </c>
      <c r="J194" s="252" t="s">
        <v>714</v>
      </c>
      <c r="K194" s="249"/>
      <c r="L194" s="249"/>
      <c r="M194" s="249"/>
      <c r="N194" s="249"/>
      <c r="O194" s="249"/>
      <c r="P194" s="250"/>
    </row>
    <row r="195" spans="2:16" ht="26.25" x14ac:dyDescent="0.25">
      <c r="B195" s="17"/>
      <c r="C195" s="223" t="s">
        <v>589</v>
      </c>
      <c r="D195" s="45" t="s">
        <v>990</v>
      </c>
      <c r="E195" s="254">
        <f t="shared" si="13"/>
        <v>0</v>
      </c>
      <c r="F195" s="254">
        <f t="shared" si="14"/>
        <v>0</v>
      </c>
      <c r="G195" s="254">
        <f t="shared" si="15"/>
        <v>0</v>
      </c>
      <c r="H195" s="233" t="s">
        <v>328</v>
      </c>
      <c r="I195" s="248" t="s">
        <v>1033</v>
      </c>
      <c r="J195" s="252" t="s">
        <v>715</v>
      </c>
      <c r="K195" s="249"/>
      <c r="L195" s="249"/>
      <c r="M195" s="249"/>
      <c r="N195" s="249"/>
      <c r="O195" s="249"/>
      <c r="P195" s="250"/>
    </row>
    <row r="196" spans="2:16" ht="26.25" x14ac:dyDescent="0.25">
      <c r="B196" s="17"/>
      <c r="C196" s="224" t="s">
        <v>590</v>
      </c>
      <c r="D196" s="45" t="s">
        <v>991</v>
      </c>
      <c r="E196" s="254">
        <f t="shared" si="13"/>
        <v>0</v>
      </c>
      <c r="F196" s="254">
        <f t="shared" si="14"/>
        <v>0</v>
      </c>
      <c r="G196" s="254">
        <f t="shared" si="15"/>
        <v>0</v>
      </c>
      <c r="H196" s="233" t="s">
        <v>328</v>
      </c>
      <c r="I196" s="248" t="s">
        <v>1033</v>
      </c>
      <c r="J196" s="252" t="s">
        <v>716</v>
      </c>
      <c r="K196" s="249"/>
      <c r="L196" s="249"/>
      <c r="M196" s="249"/>
      <c r="N196" s="249"/>
      <c r="O196" s="249"/>
      <c r="P196" s="250"/>
    </row>
    <row r="197" spans="2:16" ht="26.25" x14ac:dyDescent="0.25">
      <c r="B197" s="17"/>
      <c r="C197" s="223" t="s">
        <v>591</v>
      </c>
      <c r="D197" s="45" t="s">
        <v>992</v>
      </c>
      <c r="E197" s="254">
        <f t="shared" si="13"/>
        <v>0</v>
      </c>
      <c r="F197" s="254">
        <f t="shared" si="14"/>
        <v>0</v>
      </c>
      <c r="G197" s="254">
        <f t="shared" si="15"/>
        <v>0</v>
      </c>
      <c r="H197" s="233" t="s">
        <v>328</v>
      </c>
      <c r="I197" s="248" t="s">
        <v>1033</v>
      </c>
      <c r="J197" s="252" t="s">
        <v>717</v>
      </c>
      <c r="K197" s="249"/>
      <c r="L197" s="249"/>
      <c r="M197" s="249"/>
      <c r="N197" s="249"/>
      <c r="O197" s="249"/>
      <c r="P197" s="250"/>
    </row>
    <row r="198" spans="2:16" ht="26.25" x14ac:dyDescent="0.25">
      <c r="B198" s="17"/>
      <c r="C198" s="223" t="s">
        <v>592</v>
      </c>
      <c r="D198" s="45" t="s">
        <v>993</v>
      </c>
      <c r="E198" s="254">
        <f t="shared" si="13"/>
        <v>0</v>
      </c>
      <c r="F198" s="254">
        <f t="shared" si="14"/>
        <v>0</v>
      </c>
      <c r="G198" s="254">
        <f t="shared" si="15"/>
        <v>0</v>
      </c>
      <c r="H198" s="233" t="s">
        <v>328</v>
      </c>
      <c r="I198" s="248" t="s">
        <v>1033</v>
      </c>
      <c r="J198" s="252" t="s">
        <v>718</v>
      </c>
      <c r="K198" s="249"/>
      <c r="L198" s="249"/>
      <c r="M198" s="249"/>
      <c r="N198" s="249"/>
      <c r="O198" s="249"/>
      <c r="P198" s="250"/>
    </row>
    <row r="199" spans="2:16" ht="26.25" x14ac:dyDescent="0.25">
      <c r="B199" s="17"/>
      <c r="C199" s="223" t="s">
        <v>593</v>
      </c>
      <c r="D199" s="45" t="s">
        <v>994</v>
      </c>
      <c r="E199" s="254">
        <f t="shared" si="13"/>
        <v>0</v>
      </c>
      <c r="F199" s="254">
        <f t="shared" si="14"/>
        <v>0</v>
      </c>
      <c r="G199" s="254">
        <f t="shared" si="15"/>
        <v>0</v>
      </c>
      <c r="H199" s="233" t="s">
        <v>328</v>
      </c>
      <c r="I199" s="248" t="s">
        <v>1033</v>
      </c>
      <c r="J199" s="252" t="s">
        <v>719</v>
      </c>
      <c r="K199" s="249"/>
      <c r="L199" s="249"/>
      <c r="M199" s="249"/>
      <c r="N199" s="249"/>
      <c r="O199" s="249"/>
      <c r="P199" s="250"/>
    </row>
    <row r="200" spans="2:16" ht="26.25" x14ac:dyDescent="0.25">
      <c r="B200" s="17"/>
      <c r="C200" s="223" t="s">
        <v>594</v>
      </c>
      <c r="D200" s="45" t="s">
        <v>995</v>
      </c>
      <c r="E200" s="254">
        <f t="shared" si="13"/>
        <v>0</v>
      </c>
      <c r="F200" s="254">
        <f t="shared" si="14"/>
        <v>0</v>
      </c>
      <c r="G200" s="254">
        <f t="shared" si="15"/>
        <v>0</v>
      </c>
      <c r="H200" s="233" t="s">
        <v>328</v>
      </c>
      <c r="I200" s="248" t="s">
        <v>1033</v>
      </c>
      <c r="J200" s="252" t="s">
        <v>720</v>
      </c>
      <c r="K200" s="249"/>
      <c r="L200" s="249"/>
      <c r="M200" s="249"/>
      <c r="N200" s="249"/>
      <c r="O200" s="249"/>
      <c r="P200" s="250"/>
    </row>
    <row r="201" spans="2:16" ht="26.25" x14ac:dyDescent="0.25">
      <c r="B201" s="17"/>
      <c r="C201" s="223" t="s">
        <v>595</v>
      </c>
      <c r="D201" s="45" t="s">
        <v>996</v>
      </c>
      <c r="E201" s="254">
        <f t="shared" si="13"/>
        <v>0</v>
      </c>
      <c r="F201" s="254">
        <f t="shared" si="14"/>
        <v>0</v>
      </c>
      <c r="G201" s="254">
        <f t="shared" si="15"/>
        <v>0</v>
      </c>
      <c r="H201" s="233" t="s">
        <v>328</v>
      </c>
      <c r="I201" s="248" t="s">
        <v>1033</v>
      </c>
      <c r="J201" s="252" t="s">
        <v>721</v>
      </c>
      <c r="K201" s="249"/>
      <c r="L201" s="249"/>
      <c r="M201" s="249"/>
      <c r="N201" s="249"/>
      <c r="O201" s="249"/>
      <c r="P201" s="250"/>
    </row>
    <row r="202" spans="2:16" ht="26.25" x14ac:dyDescent="0.25">
      <c r="B202" s="17"/>
      <c r="C202" s="223" t="s">
        <v>596</v>
      </c>
      <c r="D202" s="45" t="s">
        <v>997</v>
      </c>
      <c r="E202" s="254">
        <f t="shared" si="13"/>
        <v>0</v>
      </c>
      <c r="F202" s="254">
        <f t="shared" si="14"/>
        <v>0</v>
      </c>
      <c r="G202" s="254">
        <f t="shared" si="15"/>
        <v>0</v>
      </c>
      <c r="H202" s="233" t="s">
        <v>328</v>
      </c>
      <c r="I202" s="248" t="s">
        <v>1033</v>
      </c>
      <c r="J202" s="252" t="s">
        <v>722</v>
      </c>
      <c r="K202" s="249"/>
      <c r="L202" s="249"/>
      <c r="M202" s="249"/>
      <c r="N202" s="249"/>
      <c r="O202" s="249"/>
      <c r="P202" s="250"/>
    </row>
    <row r="203" spans="2:16" ht="26.25" x14ac:dyDescent="0.25">
      <c r="B203" s="17"/>
      <c r="C203" s="223" t="s">
        <v>597</v>
      </c>
      <c r="D203" s="45" t="s">
        <v>998</v>
      </c>
      <c r="E203" s="254">
        <f t="shared" si="13"/>
        <v>0</v>
      </c>
      <c r="F203" s="254">
        <f t="shared" si="14"/>
        <v>0</v>
      </c>
      <c r="G203" s="254">
        <f t="shared" si="15"/>
        <v>0</v>
      </c>
      <c r="H203" s="233" t="s">
        <v>328</v>
      </c>
      <c r="I203" s="248" t="s">
        <v>1033</v>
      </c>
      <c r="J203" s="252" t="s">
        <v>723</v>
      </c>
      <c r="K203" s="249"/>
      <c r="L203" s="249"/>
      <c r="M203" s="249"/>
      <c r="N203" s="249"/>
      <c r="O203" s="249"/>
      <c r="P203" s="250"/>
    </row>
    <row r="204" spans="2:16" ht="26.25" x14ac:dyDescent="0.25">
      <c r="B204" s="17"/>
      <c r="C204" s="223" t="s">
        <v>598</v>
      </c>
      <c r="D204" s="45" t="s">
        <v>999</v>
      </c>
      <c r="E204" s="254">
        <f t="shared" si="13"/>
        <v>0</v>
      </c>
      <c r="F204" s="254">
        <f t="shared" si="14"/>
        <v>0</v>
      </c>
      <c r="G204" s="254">
        <f t="shared" si="15"/>
        <v>0</v>
      </c>
      <c r="H204" s="233" t="s">
        <v>328</v>
      </c>
      <c r="I204" s="248" t="s">
        <v>1033</v>
      </c>
      <c r="J204" s="252" t="s">
        <v>724</v>
      </c>
      <c r="K204" s="249"/>
      <c r="L204" s="249"/>
      <c r="M204" s="249"/>
      <c r="N204" s="249"/>
      <c r="O204" s="249"/>
      <c r="P204" s="250"/>
    </row>
    <row r="205" spans="2:16" ht="26.25" x14ac:dyDescent="0.25">
      <c r="B205" s="17"/>
      <c r="C205" s="223" t="s">
        <v>599</v>
      </c>
      <c r="D205" s="45" t="s">
        <v>1000</v>
      </c>
      <c r="E205" s="254">
        <f t="shared" si="13"/>
        <v>0</v>
      </c>
      <c r="F205" s="254">
        <f t="shared" si="14"/>
        <v>0</v>
      </c>
      <c r="G205" s="254">
        <f t="shared" si="15"/>
        <v>0</v>
      </c>
      <c r="H205" s="233" t="s">
        <v>328</v>
      </c>
      <c r="I205" s="248" t="s">
        <v>1033</v>
      </c>
      <c r="J205" s="252" t="s">
        <v>725</v>
      </c>
      <c r="K205" s="249"/>
      <c r="L205" s="249"/>
      <c r="M205" s="249"/>
      <c r="N205" s="249"/>
      <c r="O205" s="249"/>
      <c r="P205" s="250"/>
    </row>
    <row r="206" spans="2:16" ht="26.25" x14ac:dyDescent="0.25">
      <c r="B206" s="17"/>
      <c r="C206" s="223" t="s">
        <v>600</v>
      </c>
      <c r="D206" s="45" t="s">
        <v>1001</v>
      </c>
      <c r="E206" s="254">
        <f t="shared" si="13"/>
        <v>0</v>
      </c>
      <c r="F206" s="254">
        <f t="shared" si="14"/>
        <v>0</v>
      </c>
      <c r="G206" s="254">
        <f t="shared" si="15"/>
        <v>0</v>
      </c>
      <c r="H206" s="233" t="s">
        <v>328</v>
      </c>
      <c r="I206" s="248" t="s">
        <v>1033</v>
      </c>
      <c r="J206" s="252" t="s">
        <v>726</v>
      </c>
      <c r="K206" s="249"/>
      <c r="L206" s="249"/>
      <c r="M206" s="249"/>
      <c r="N206" s="249"/>
      <c r="O206" s="249"/>
      <c r="P206" s="250"/>
    </row>
    <row r="207" spans="2:16" ht="26.25" x14ac:dyDescent="0.25">
      <c r="B207" s="17"/>
      <c r="C207" s="223" t="s">
        <v>601</v>
      </c>
      <c r="D207" s="45" t="s">
        <v>1002</v>
      </c>
      <c r="E207" s="254">
        <f t="shared" si="13"/>
        <v>0</v>
      </c>
      <c r="F207" s="254">
        <f t="shared" si="14"/>
        <v>0</v>
      </c>
      <c r="G207" s="254">
        <f t="shared" si="15"/>
        <v>0</v>
      </c>
      <c r="H207" s="233" t="s">
        <v>328</v>
      </c>
      <c r="I207" s="248" t="s">
        <v>1033</v>
      </c>
      <c r="J207" s="252" t="s">
        <v>727</v>
      </c>
      <c r="K207" s="249"/>
      <c r="L207" s="249"/>
      <c r="M207" s="249"/>
      <c r="N207" s="249"/>
      <c r="O207" s="249"/>
      <c r="P207" s="250"/>
    </row>
    <row r="208" spans="2:16" ht="26.25" x14ac:dyDescent="0.25">
      <c r="B208" s="17"/>
      <c r="C208" s="223" t="s">
        <v>602</v>
      </c>
      <c r="D208" s="45" t="s">
        <v>1003</v>
      </c>
      <c r="E208" s="254">
        <f t="shared" si="13"/>
        <v>0</v>
      </c>
      <c r="F208" s="254">
        <f t="shared" si="14"/>
        <v>0</v>
      </c>
      <c r="G208" s="254">
        <f t="shared" si="15"/>
        <v>0</v>
      </c>
      <c r="H208" s="233" t="s">
        <v>328</v>
      </c>
      <c r="I208" s="248" t="s">
        <v>1033</v>
      </c>
      <c r="J208" s="252" t="s">
        <v>728</v>
      </c>
      <c r="K208" s="249"/>
      <c r="L208" s="249"/>
      <c r="M208" s="249"/>
      <c r="N208" s="249"/>
      <c r="O208" s="249"/>
      <c r="P208" s="250"/>
    </row>
    <row r="209" spans="1:25" ht="26.25" x14ac:dyDescent="0.25">
      <c r="B209" s="17"/>
      <c r="C209" s="223" t="s">
        <v>603</v>
      </c>
      <c r="D209" s="45" t="s">
        <v>1004</v>
      </c>
      <c r="E209" s="254">
        <f t="shared" si="13"/>
        <v>0</v>
      </c>
      <c r="F209" s="254">
        <f t="shared" si="14"/>
        <v>0</v>
      </c>
      <c r="G209" s="254">
        <f t="shared" si="15"/>
        <v>0</v>
      </c>
      <c r="H209" s="233" t="s">
        <v>328</v>
      </c>
      <c r="I209" s="248" t="s">
        <v>1033</v>
      </c>
      <c r="J209" s="252" t="s">
        <v>729</v>
      </c>
      <c r="K209" s="249"/>
      <c r="L209" s="249"/>
      <c r="M209" s="249"/>
      <c r="N209" s="249"/>
      <c r="O209" s="249"/>
      <c r="P209" s="250"/>
    </row>
    <row r="210" spans="1:25" ht="26.25" x14ac:dyDescent="0.25">
      <c r="B210" s="17"/>
      <c r="C210" s="224" t="s">
        <v>604</v>
      </c>
      <c r="D210" s="45" t="s">
        <v>1005</v>
      </c>
      <c r="E210" s="254">
        <f t="shared" si="13"/>
        <v>0</v>
      </c>
      <c r="F210" s="254">
        <f t="shared" si="14"/>
        <v>0</v>
      </c>
      <c r="G210" s="254">
        <f t="shared" si="15"/>
        <v>0</v>
      </c>
      <c r="H210" s="233" t="s">
        <v>328</v>
      </c>
      <c r="I210" s="248" t="s">
        <v>1033</v>
      </c>
      <c r="J210" s="252" t="s">
        <v>730</v>
      </c>
      <c r="K210" s="249"/>
      <c r="L210" s="249"/>
      <c r="M210" s="249"/>
      <c r="N210" s="249"/>
      <c r="O210" s="249"/>
      <c r="P210" s="250"/>
    </row>
    <row r="211" spans="1:25" ht="26.25" x14ac:dyDescent="0.25">
      <c r="B211" s="17"/>
      <c r="C211" s="224" t="s">
        <v>605</v>
      </c>
      <c r="D211" s="45" t="s">
        <v>1006</v>
      </c>
      <c r="E211" s="254">
        <f t="shared" si="13"/>
        <v>0</v>
      </c>
      <c r="F211" s="254">
        <f t="shared" si="14"/>
        <v>0</v>
      </c>
      <c r="G211" s="254">
        <f t="shared" si="15"/>
        <v>0</v>
      </c>
      <c r="H211" s="233" t="s">
        <v>328</v>
      </c>
      <c r="I211" s="248" t="s">
        <v>1033</v>
      </c>
      <c r="J211" s="252" t="s">
        <v>731</v>
      </c>
      <c r="K211" s="249"/>
      <c r="L211" s="249"/>
      <c r="M211" s="249"/>
      <c r="N211" s="249"/>
      <c r="O211" s="249"/>
      <c r="P211" s="250"/>
    </row>
    <row r="212" spans="1:25" ht="26.25" x14ac:dyDescent="0.25">
      <c r="B212" s="17"/>
      <c r="C212" s="224" t="s">
        <v>606</v>
      </c>
      <c r="D212" s="45" t="s">
        <v>1007</v>
      </c>
      <c r="E212" s="254">
        <f t="shared" si="13"/>
        <v>0</v>
      </c>
      <c r="F212" s="254">
        <f t="shared" si="14"/>
        <v>0</v>
      </c>
      <c r="G212" s="254">
        <f t="shared" si="15"/>
        <v>0</v>
      </c>
      <c r="H212" s="233" t="s">
        <v>328</v>
      </c>
      <c r="I212" s="248" t="s">
        <v>1033</v>
      </c>
      <c r="J212" s="252" t="s">
        <v>732</v>
      </c>
      <c r="K212" s="249"/>
      <c r="L212" s="249"/>
      <c r="M212" s="249"/>
      <c r="N212" s="249"/>
      <c r="O212" s="249"/>
      <c r="P212" s="250"/>
    </row>
    <row r="213" spans="1:25" x14ac:dyDescent="0.2">
      <c r="B213" s="17">
        <f t="shared" si="2"/>
        <v>25</v>
      </c>
      <c r="C213" s="225" t="s">
        <v>318</v>
      </c>
      <c r="D213" s="45" t="s">
        <v>1008</v>
      </c>
      <c r="E213" s="236">
        <f t="shared" ref="E213:G216" si="16">E$98*E89</f>
        <v>0.64256926854680396</v>
      </c>
      <c r="F213" s="236">
        <f t="shared" si="16"/>
        <v>0.60392093722661866</v>
      </c>
      <c r="G213" s="236">
        <f t="shared" si="16"/>
        <v>0.68115350054417989</v>
      </c>
      <c r="H213" s="233" t="s">
        <v>323</v>
      </c>
      <c r="I213" s="248" t="s">
        <v>473</v>
      </c>
      <c r="J213" s="243" t="s">
        <v>410</v>
      </c>
      <c r="K213" s="243"/>
      <c r="L213" s="243"/>
      <c r="M213" s="243"/>
      <c r="N213" s="243"/>
      <c r="O213" s="243"/>
      <c r="P213" s="244"/>
    </row>
    <row r="214" spans="1:25" x14ac:dyDescent="0.2">
      <c r="B214" s="17">
        <f t="shared" si="2"/>
        <v>25</v>
      </c>
      <c r="C214" s="225" t="s">
        <v>319</v>
      </c>
      <c r="D214" s="45" t="s">
        <v>1009</v>
      </c>
      <c r="E214" s="236">
        <f t="shared" si="16"/>
        <v>3.38194351866739E-2</v>
      </c>
      <c r="F214" s="236">
        <f t="shared" si="16"/>
        <v>3.1785312485611512E-2</v>
      </c>
      <c r="G214" s="236">
        <f t="shared" si="16"/>
        <v>3.5850184239167367E-2</v>
      </c>
      <c r="H214" s="233" t="s">
        <v>323</v>
      </c>
      <c r="I214" s="248" t="s">
        <v>473</v>
      </c>
      <c r="J214" s="243" t="s">
        <v>411</v>
      </c>
      <c r="K214" s="243"/>
      <c r="L214" s="243"/>
      <c r="M214" s="243"/>
      <c r="N214" s="243"/>
      <c r="O214" s="243"/>
      <c r="P214" s="244"/>
    </row>
    <row r="215" spans="1:25" x14ac:dyDescent="0.2">
      <c r="B215" s="17">
        <f t="shared" si="2"/>
        <v>24</v>
      </c>
      <c r="C215" s="225" t="s">
        <v>320</v>
      </c>
      <c r="D215" s="45" t="s">
        <v>1010</v>
      </c>
      <c r="E215" s="236">
        <f t="shared" si="16"/>
        <v>0</v>
      </c>
      <c r="F215" s="236">
        <f t="shared" si="16"/>
        <v>0</v>
      </c>
      <c r="G215" s="236">
        <f t="shared" si="16"/>
        <v>0</v>
      </c>
      <c r="H215" s="233" t="s">
        <v>323</v>
      </c>
      <c r="I215" s="248" t="s">
        <v>473</v>
      </c>
      <c r="J215" s="243" t="s">
        <v>412</v>
      </c>
      <c r="K215" s="243"/>
      <c r="L215" s="243"/>
      <c r="M215" s="243"/>
      <c r="N215" s="243"/>
      <c r="O215" s="243"/>
      <c r="P215" s="244"/>
    </row>
    <row r="216" spans="1:25" x14ac:dyDescent="0.2">
      <c r="B216" s="17">
        <f t="shared" si="2"/>
        <v>26</v>
      </c>
      <c r="C216" s="225" t="s">
        <v>321</v>
      </c>
      <c r="D216" s="45" t="s">
        <v>1011</v>
      </c>
      <c r="E216" s="236">
        <f t="shared" si="16"/>
        <v>0</v>
      </c>
      <c r="F216" s="236">
        <f t="shared" si="16"/>
        <v>0</v>
      </c>
      <c r="G216" s="236">
        <f t="shared" si="16"/>
        <v>0</v>
      </c>
      <c r="H216" s="233" t="s">
        <v>323</v>
      </c>
      <c r="I216" s="248" t="s">
        <v>473</v>
      </c>
      <c r="J216" s="243" t="s">
        <v>413</v>
      </c>
      <c r="K216" s="243"/>
      <c r="L216" s="243"/>
      <c r="M216" s="243"/>
      <c r="N216" s="243"/>
      <c r="O216" s="243"/>
      <c r="P216" s="244"/>
    </row>
    <row r="217" spans="1:25" x14ac:dyDescent="0.2">
      <c r="B217" s="9"/>
      <c r="C217" s="47" t="s">
        <v>65</v>
      </c>
      <c r="D217" s="48" t="s">
        <v>66</v>
      </c>
      <c r="E217" s="50"/>
      <c r="F217" s="50"/>
      <c r="G217" s="50"/>
      <c r="H217" s="49"/>
      <c r="I217" s="50"/>
      <c r="J217" s="51"/>
      <c r="K217" s="51"/>
      <c r="L217" s="51"/>
      <c r="M217" s="51"/>
      <c r="N217" s="51"/>
      <c r="O217" s="51"/>
      <c r="P217" s="52"/>
    </row>
    <row r="218" spans="1:25" ht="13.5" thickBot="1" x14ac:dyDescent="0.25">
      <c r="B218" s="9"/>
      <c r="C218" s="2"/>
      <c r="D218" s="2"/>
      <c r="E218" s="2"/>
      <c r="F218" s="2"/>
      <c r="G218" s="2"/>
      <c r="H218" s="2"/>
      <c r="J218" s="2"/>
      <c r="K218" s="2"/>
      <c r="L218" s="2"/>
      <c r="M218" s="2"/>
      <c r="N218" s="2"/>
      <c r="O218" s="2"/>
      <c r="P218" s="2"/>
    </row>
    <row r="219" spans="1:25" s="32" customFormat="1" ht="13.5" thickBot="1" x14ac:dyDescent="0.25">
      <c r="A219" s="31"/>
      <c r="B219" s="316" t="s">
        <v>67</v>
      </c>
      <c r="C219" s="317"/>
      <c r="D219" s="317"/>
      <c r="E219" s="317"/>
      <c r="F219" s="317"/>
      <c r="G219" s="317"/>
      <c r="H219" s="317"/>
      <c r="I219" s="317"/>
      <c r="J219" s="317"/>
      <c r="K219" s="317"/>
      <c r="L219" s="317"/>
      <c r="M219" s="317"/>
      <c r="N219" s="317"/>
      <c r="O219" s="317"/>
      <c r="P219" s="318"/>
      <c r="Q219" s="31"/>
      <c r="R219" s="31"/>
      <c r="S219" s="31"/>
      <c r="T219" s="31"/>
      <c r="U219" s="31"/>
      <c r="V219" s="31"/>
      <c r="W219" s="31"/>
      <c r="X219" s="31"/>
      <c r="Y219" s="31"/>
    </row>
    <row r="220" spans="1:25" x14ac:dyDescent="0.2">
      <c r="B220" s="9"/>
      <c r="C220" s="2"/>
      <c r="D220" s="2"/>
      <c r="E220" s="2"/>
      <c r="F220" s="2"/>
      <c r="G220" s="2"/>
      <c r="H220" s="42" t="s">
        <v>68</v>
      </c>
      <c r="J220" s="2"/>
      <c r="K220" s="2"/>
      <c r="L220" s="2"/>
      <c r="M220" s="2"/>
      <c r="N220" s="2"/>
      <c r="O220" s="2"/>
      <c r="P220" s="2"/>
    </row>
    <row r="221" spans="1:25" x14ac:dyDescent="0.2">
      <c r="B221" s="9"/>
      <c r="C221" s="43" t="s">
        <v>69</v>
      </c>
      <c r="D221" s="43" t="s">
        <v>70</v>
      </c>
      <c r="E221" s="43" t="s">
        <v>59</v>
      </c>
      <c r="F221" s="43" t="s">
        <v>71</v>
      </c>
      <c r="G221" s="43" t="s">
        <v>69</v>
      </c>
      <c r="H221" s="43" t="s">
        <v>62</v>
      </c>
      <c r="I221" s="43" t="s">
        <v>72</v>
      </c>
      <c r="J221" s="43" t="s">
        <v>73</v>
      </c>
      <c r="K221" s="43" t="s">
        <v>74</v>
      </c>
      <c r="L221" s="43" t="s">
        <v>75</v>
      </c>
      <c r="M221" s="43" t="s">
        <v>63</v>
      </c>
      <c r="N221" s="320" t="s">
        <v>64</v>
      </c>
      <c r="O221" s="320"/>
      <c r="P221" s="320"/>
      <c r="X221" s="31"/>
      <c r="Y221" s="31"/>
    </row>
    <row r="222" spans="1:25" ht="14.25" customHeight="1" x14ac:dyDescent="0.2">
      <c r="B222" s="9"/>
      <c r="C222" s="225" t="s">
        <v>318</v>
      </c>
      <c r="D222" s="45" t="s">
        <v>733</v>
      </c>
      <c r="E222" s="53">
        <v>1</v>
      </c>
      <c r="F222" s="53" t="s">
        <v>329</v>
      </c>
      <c r="G222" s="54">
        <f t="shared" ref="G222:G230" si="17">IF($C222="",1,VLOOKUP($C222,$C$22:$H$217,3,FALSE))</f>
        <v>0.64256926854680396</v>
      </c>
      <c r="H222" s="55" t="str">
        <f t="shared" ref="H222:H230" si="18">IF($C222="","",VLOOKUP($C222,$C$22:$H$217,6,FALSE))</f>
        <v>[L water/kg NG]</v>
      </c>
      <c r="I222" s="242">
        <f>IF(D222="","",E222*G222*$D$5)</f>
        <v>0.64256926854680396</v>
      </c>
      <c r="J222" s="53" t="s">
        <v>329</v>
      </c>
      <c r="K222" s="56" t="s">
        <v>89</v>
      </c>
      <c r="L222" s="53" t="s">
        <v>93</v>
      </c>
      <c r="M222" s="248" t="s">
        <v>473</v>
      </c>
      <c r="N222" s="329" t="s">
        <v>737</v>
      </c>
      <c r="O222" s="329"/>
      <c r="P222" s="329"/>
      <c r="X222" s="31"/>
      <c r="Y222" s="31"/>
    </row>
    <row r="223" spans="1:25" x14ac:dyDescent="0.2">
      <c r="B223" s="9"/>
      <c r="C223" s="225" t="s">
        <v>319</v>
      </c>
      <c r="D223" s="45" t="s">
        <v>734</v>
      </c>
      <c r="E223" s="53">
        <v>1</v>
      </c>
      <c r="F223" s="53" t="s">
        <v>329</v>
      </c>
      <c r="G223" s="54">
        <f t="shared" si="17"/>
        <v>3.38194351866739E-2</v>
      </c>
      <c r="H223" s="55" t="str">
        <f t="shared" si="18"/>
        <v>[L water/kg NG]</v>
      </c>
      <c r="I223" s="242">
        <f t="shared" ref="I223:I230" si="19">IF(D223="","",E223*G223*$D$5)</f>
        <v>3.38194351866739E-2</v>
      </c>
      <c r="J223" s="53" t="s">
        <v>329</v>
      </c>
      <c r="K223" s="56" t="s">
        <v>89</v>
      </c>
      <c r="L223" s="53" t="s">
        <v>93</v>
      </c>
      <c r="M223" s="248" t="s">
        <v>473</v>
      </c>
      <c r="N223" s="329" t="s">
        <v>737</v>
      </c>
      <c r="O223" s="329"/>
      <c r="P223" s="329"/>
      <c r="X223" s="31"/>
      <c r="Y223" s="31"/>
    </row>
    <row r="224" spans="1:25" x14ac:dyDescent="0.2">
      <c r="B224" s="9"/>
      <c r="C224" s="225" t="s">
        <v>320</v>
      </c>
      <c r="D224" s="45" t="s">
        <v>735</v>
      </c>
      <c r="E224" s="53">
        <v>1</v>
      </c>
      <c r="F224" s="53" t="s">
        <v>329</v>
      </c>
      <c r="G224" s="54">
        <f t="shared" si="17"/>
        <v>0</v>
      </c>
      <c r="H224" s="55" t="str">
        <f t="shared" si="18"/>
        <v>[L water/kg NG]</v>
      </c>
      <c r="I224" s="242">
        <f t="shared" si="19"/>
        <v>0</v>
      </c>
      <c r="J224" s="53" t="s">
        <v>329</v>
      </c>
      <c r="K224" s="56" t="s">
        <v>89</v>
      </c>
      <c r="L224" s="53" t="s">
        <v>93</v>
      </c>
      <c r="M224" s="248" t="s">
        <v>473</v>
      </c>
      <c r="N224" s="329" t="s">
        <v>737</v>
      </c>
      <c r="O224" s="329"/>
      <c r="P224" s="329"/>
      <c r="X224" s="31"/>
      <c r="Y224" s="31"/>
    </row>
    <row r="225" spans="1:25" x14ac:dyDescent="0.2">
      <c r="B225" s="9"/>
      <c r="C225" s="225" t="s">
        <v>321</v>
      </c>
      <c r="D225" s="45" t="s">
        <v>736</v>
      </c>
      <c r="E225" s="53">
        <v>1</v>
      </c>
      <c r="F225" s="53" t="s">
        <v>329</v>
      </c>
      <c r="G225" s="54">
        <f t="shared" si="17"/>
        <v>0</v>
      </c>
      <c r="H225" s="55" t="str">
        <f t="shared" si="18"/>
        <v>[L water/kg NG]</v>
      </c>
      <c r="I225" s="242">
        <f t="shared" si="19"/>
        <v>0</v>
      </c>
      <c r="J225" s="53" t="s">
        <v>329</v>
      </c>
      <c r="K225" s="56" t="s">
        <v>89</v>
      </c>
      <c r="L225" s="53" t="s">
        <v>93</v>
      </c>
      <c r="M225" s="248" t="s">
        <v>473</v>
      </c>
      <c r="N225" s="329" t="s">
        <v>737</v>
      </c>
      <c r="O225" s="329"/>
      <c r="P225" s="329"/>
      <c r="X225" s="31"/>
      <c r="Y225" s="31"/>
    </row>
    <row r="226" spans="1:25" x14ac:dyDescent="0.2">
      <c r="B226" s="9"/>
      <c r="C226" s="59"/>
      <c r="D226" s="58"/>
      <c r="E226" s="53"/>
      <c r="F226" s="53"/>
      <c r="G226" s="54">
        <f t="shared" si="17"/>
        <v>1</v>
      </c>
      <c r="H226" s="55" t="str">
        <f t="shared" si="18"/>
        <v/>
      </c>
      <c r="I226" s="242" t="str">
        <f t="shared" si="19"/>
        <v/>
      </c>
      <c r="J226" s="53"/>
      <c r="K226" s="56"/>
      <c r="L226" s="53"/>
      <c r="M226" s="57"/>
      <c r="N226" s="329"/>
      <c r="O226" s="329"/>
      <c r="P226" s="329"/>
      <c r="X226" s="31"/>
      <c r="Y226" s="31"/>
    </row>
    <row r="227" spans="1:25" x14ac:dyDescent="0.2">
      <c r="B227" s="9"/>
      <c r="C227" s="59"/>
      <c r="D227" s="60"/>
      <c r="E227" s="53"/>
      <c r="F227" s="53"/>
      <c r="G227" s="54">
        <f t="shared" si="17"/>
        <v>1</v>
      </c>
      <c r="H227" s="55" t="str">
        <f t="shared" si="18"/>
        <v/>
      </c>
      <c r="I227" s="242" t="str">
        <f t="shared" si="19"/>
        <v/>
      </c>
      <c r="J227" s="53"/>
      <c r="K227" s="56"/>
      <c r="L227" s="53"/>
      <c r="M227" s="57"/>
      <c r="N227" s="329"/>
      <c r="O227" s="329"/>
      <c r="P227" s="329"/>
      <c r="X227" s="31"/>
      <c r="Y227" s="31"/>
    </row>
    <row r="228" spans="1:25" x14ac:dyDescent="0.2">
      <c r="B228" s="9"/>
      <c r="C228" s="59"/>
      <c r="D228" s="60"/>
      <c r="E228" s="53"/>
      <c r="F228" s="53"/>
      <c r="G228" s="54">
        <f t="shared" si="17"/>
        <v>1</v>
      </c>
      <c r="H228" s="55" t="str">
        <f t="shared" si="18"/>
        <v/>
      </c>
      <c r="I228" s="242" t="str">
        <f t="shared" si="19"/>
        <v/>
      </c>
      <c r="J228" s="53"/>
      <c r="K228" s="56"/>
      <c r="L228" s="53"/>
      <c r="M228" s="57"/>
      <c r="N228" s="329"/>
      <c r="O228" s="329"/>
      <c r="P228" s="329"/>
      <c r="X228" s="31"/>
      <c r="Y228" s="31"/>
    </row>
    <row r="229" spans="1:25" x14ac:dyDescent="0.2">
      <c r="B229" s="9"/>
      <c r="C229" s="59"/>
      <c r="D229" s="60"/>
      <c r="E229" s="53"/>
      <c r="F229" s="53"/>
      <c r="G229" s="54">
        <f t="shared" si="17"/>
        <v>1</v>
      </c>
      <c r="H229" s="55" t="str">
        <f t="shared" si="18"/>
        <v/>
      </c>
      <c r="I229" s="242" t="str">
        <f t="shared" si="19"/>
        <v/>
      </c>
      <c r="J229" s="53"/>
      <c r="K229" s="56"/>
      <c r="L229" s="53"/>
      <c r="M229" s="57"/>
      <c r="N229" s="330"/>
      <c r="O229" s="330"/>
      <c r="P229" s="330"/>
      <c r="X229" s="31"/>
      <c r="Y229" s="31"/>
    </row>
    <row r="230" spans="1:25" x14ac:dyDescent="0.2">
      <c r="B230" s="9"/>
      <c r="C230" s="53"/>
      <c r="D230" s="59"/>
      <c r="E230" s="53"/>
      <c r="F230" s="53"/>
      <c r="G230" s="54">
        <f t="shared" si="17"/>
        <v>1</v>
      </c>
      <c r="H230" s="55" t="str">
        <f t="shared" si="18"/>
        <v/>
      </c>
      <c r="I230" s="242" t="str">
        <f t="shared" si="19"/>
        <v/>
      </c>
      <c r="J230" s="53"/>
      <c r="K230" s="56"/>
      <c r="L230" s="53"/>
      <c r="M230" s="57"/>
      <c r="N230" s="330"/>
      <c r="O230" s="330"/>
      <c r="P230" s="330"/>
      <c r="X230" s="31"/>
      <c r="Y230" s="31"/>
    </row>
    <row r="231" spans="1:25" x14ac:dyDescent="0.2">
      <c r="B231" s="9"/>
      <c r="C231" s="61" t="s">
        <v>65</v>
      </c>
      <c r="D231" s="48" t="s">
        <v>66</v>
      </c>
      <c r="E231" s="62" t="s">
        <v>76</v>
      </c>
      <c r="F231" s="48"/>
      <c r="G231" s="48"/>
      <c r="H231" s="48"/>
      <c r="I231" s="62" t="s">
        <v>77</v>
      </c>
      <c r="J231" s="48"/>
      <c r="K231" s="62"/>
      <c r="L231" s="48" t="s">
        <v>78</v>
      </c>
      <c r="M231" s="63"/>
      <c r="N231" s="300"/>
      <c r="O231" s="300"/>
      <c r="P231" s="300"/>
      <c r="X231" s="31"/>
      <c r="Y231" s="31"/>
    </row>
    <row r="232" spans="1:25" s="2" customFormat="1" ht="13.5" thickBot="1" x14ac:dyDescent="0.25">
      <c r="B232" s="9"/>
      <c r="X232" s="31"/>
      <c r="Y232" s="31"/>
    </row>
    <row r="233" spans="1:25" s="32" customFormat="1" ht="13.5" thickBot="1" x14ac:dyDescent="0.25">
      <c r="A233" s="31"/>
      <c r="B233" s="316" t="s">
        <v>79</v>
      </c>
      <c r="C233" s="317"/>
      <c r="D233" s="317"/>
      <c r="E233" s="317"/>
      <c r="F233" s="317"/>
      <c r="G233" s="317"/>
      <c r="H233" s="317"/>
      <c r="I233" s="317"/>
      <c r="J233" s="317"/>
      <c r="K233" s="317"/>
      <c r="L233" s="317"/>
      <c r="M233" s="317"/>
      <c r="N233" s="317"/>
      <c r="O233" s="317"/>
      <c r="P233" s="318"/>
      <c r="Q233" s="31"/>
      <c r="R233" s="31"/>
      <c r="S233" s="31"/>
      <c r="T233" s="31"/>
      <c r="U233" s="31"/>
      <c r="V233" s="31"/>
      <c r="W233" s="31"/>
      <c r="X233" s="31"/>
      <c r="Y233" s="31"/>
    </row>
    <row r="234" spans="1:25" x14ac:dyDescent="0.2">
      <c r="B234" s="9"/>
      <c r="C234" s="2"/>
      <c r="D234" s="2"/>
      <c r="E234" s="2"/>
      <c r="F234" s="2"/>
      <c r="G234" s="2"/>
      <c r="H234" s="42" t="s">
        <v>80</v>
      </c>
      <c r="J234" s="2"/>
      <c r="K234" s="2"/>
      <c r="L234" s="2"/>
      <c r="M234" s="2"/>
      <c r="N234" s="2"/>
      <c r="O234" s="2"/>
      <c r="P234" s="2"/>
      <c r="X234" s="31"/>
      <c r="Y234" s="31"/>
    </row>
    <row r="235" spans="1:25" x14ac:dyDescent="0.2">
      <c r="B235" s="9"/>
      <c r="C235" s="43" t="s">
        <v>69</v>
      </c>
      <c r="D235" s="43" t="s">
        <v>70</v>
      </c>
      <c r="E235" s="43" t="s">
        <v>59</v>
      </c>
      <c r="F235" s="43" t="s">
        <v>71</v>
      </c>
      <c r="G235" s="43" t="s">
        <v>69</v>
      </c>
      <c r="H235" s="43" t="s">
        <v>62</v>
      </c>
      <c r="I235" s="43" t="s">
        <v>72</v>
      </c>
      <c r="J235" s="43" t="s">
        <v>73</v>
      </c>
      <c r="K235" s="43" t="s">
        <v>74</v>
      </c>
      <c r="L235" s="43" t="s">
        <v>75</v>
      </c>
      <c r="M235" s="43" t="s">
        <v>63</v>
      </c>
      <c r="N235" s="320" t="s">
        <v>64</v>
      </c>
      <c r="O235" s="320"/>
      <c r="P235" s="320"/>
      <c r="X235" s="31"/>
      <c r="Y235" s="31"/>
    </row>
    <row r="236" spans="1:25" x14ac:dyDescent="0.2">
      <c r="B236" s="9"/>
      <c r="C236" s="44" t="s">
        <v>340</v>
      </c>
      <c r="D236" s="64" t="s">
        <v>889</v>
      </c>
      <c r="E236" s="65">
        <v>1</v>
      </c>
      <c r="F236" s="65" t="s">
        <v>41</v>
      </c>
      <c r="G236" s="245"/>
      <c r="H236" s="246"/>
      <c r="I236" s="247">
        <v>1</v>
      </c>
      <c r="J236" s="65" t="s">
        <v>41</v>
      </c>
      <c r="K236" s="56" t="s">
        <v>89</v>
      </c>
      <c r="L236" s="53"/>
      <c r="M236" s="66"/>
      <c r="N236" s="299" t="s">
        <v>341</v>
      </c>
      <c r="O236" s="299"/>
      <c r="P236" s="299"/>
      <c r="X236" s="31"/>
      <c r="Y236" s="31"/>
    </row>
    <row r="237" spans="1:25" x14ac:dyDescent="0.2">
      <c r="B237" s="9"/>
      <c r="C237" s="44" t="s">
        <v>316</v>
      </c>
      <c r="D237" s="64" t="s">
        <v>890</v>
      </c>
      <c r="E237" s="65">
        <v>1</v>
      </c>
      <c r="F237" s="65" t="s">
        <v>329</v>
      </c>
      <c r="G237" s="54">
        <f t="shared" ref="G237:G268" si="20">IF($C237="",1,VLOOKUP($C237,$C$22:$H$217,3,FALSE))</f>
        <v>6.7638870373347801E-2</v>
      </c>
      <c r="H237" s="55" t="str">
        <f t="shared" ref="H237:H268" si="21">IF($C237="","",VLOOKUP($C237,$C$22:$H$217,6,FALSE))</f>
        <v>[L water/kg NG]</v>
      </c>
      <c r="I237" s="242">
        <f>IF(D237="","",E237*G237*$D$5)</f>
        <v>6.7638870373347801E-2</v>
      </c>
      <c r="J237" s="65" t="s">
        <v>329</v>
      </c>
      <c r="K237" s="56" t="s">
        <v>89</v>
      </c>
      <c r="L237" s="53" t="s">
        <v>93</v>
      </c>
      <c r="M237" s="248" t="s">
        <v>473</v>
      </c>
      <c r="N237" s="299"/>
      <c r="O237" s="299"/>
      <c r="P237" s="299"/>
      <c r="X237" s="31"/>
      <c r="Y237" s="31"/>
    </row>
    <row r="238" spans="1:25" x14ac:dyDescent="0.2">
      <c r="B238" s="9"/>
      <c r="C238" s="44" t="s">
        <v>317</v>
      </c>
      <c r="D238" s="67" t="s">
        <v>891</v>
      </c>
      <c r="E238" s="65">
        <v>1</v>
      </c>
      <c r="F238" s="65" t="s">
        <v>329</v>
      </c>
      <c r="G238" s="54">
        <f t="shared" si="20"/>
        <v>0.79927106792505964</v>
      </c>
      <c r="H238" s="55" t="str">
        <f t="shared" si="21"/>
        <v>[L water/kg NG]</v>
      </c>
      <c r="I238" s="242">
        <f t="shared" ref="I238:I357" si="22">IF(D238="","",E238*G238*$D$5)</f>
        <v>0.79927106792505964</v>
      </c>
      <c r="J238" s="59" t="s">
        <v>329</v>
      </c>
      <c r="K238" s="56" t="s">
        <v>89</v>
      </c>
      <c r="L238" s="53" t="s">
        <v>93</v>
      </c>
      <c r="M238" s="248" t="s">
        <v>474</v>
      </c>
      <c r="N238" s="299"/>
      <c r="O238" s="299"/>
      <c r="P238" s="299"/>
      <c r="X238" s="31"/>
      <c r="Y238" s="31"/>
    </row>
    <row r="239" spans="1:25" ht="15" x14ac:dyDescent="0.25">
      <c r="B239" s="9"/>
      <c r="C239" s="223" t="s">
        <v>495</v>
      </c>
      <c r="D239" s="45" t="s">
        <v>738</v>
      </c>
      <c r="E239" s="65">
        <v>1</v>
      </c>
      <c r="F239" s="65" t="s">
        <v>41</v>
      </c>
      <c r="G239" s="54">
        <f t="shared" si="20"/>
        <v>2.0185268856366173E-8</v>
      </c>
      <c r="H239" s="55" t="str">
        <f t="shared" si="21"/>
        <v>[kg / kg NG]</v>
      </c>
      <c r="I239" s="255">
        <f t="shared" si="22"/>
        <v>2.0185268856366173E-8</v>
      </c>
      <c r="J239" s="59" t="s">
        <v>41</v>
      </c>
      <c r="K239" s="56"/>
      <c r="L239" s="53" t="s">
        <v>93</v>
      </c>
      <c r="M239" s="248" t="s">
        <v>620</v>
      </c>
      <c r="N239" s="299" t="s">
        <v>850</v>
      </c>
      <c r="O239" s="299"/>
      <c r="P239" s="299"/>
      <c r="X239" s="31"/>
      <c r="Y239" s="31"/>
    </row>
    <row r="240" spans="1:25" ht="15" x14ac:dyDescent="0.25">
      <c r="B240" s="9"/>
      <c r="C240" s="223" t="s">
        <v>496</v>
      </c>
      <c r="D240" s="45" t="s">
        <v>739</v>
      </c>
      <c r="E240" s="65">
        <v>1</v>
      </c>
      <c r="F240" s="65" t="s">
        <v>41</v>
      </c>
      <c r="G240" s="54">
        <f t="shared" si="20"/>
        <v>0</v>
      </c>
      <c r="H240" s="55" t="str">
        <f t="shared" si="21"/>
        <v>[kg / kg NG]</v>
      </c>
      <c r="I240" s="255">
        <f t="shared" si="22"/>
        <v>0</v>
      </c>
      <c r="J240" s="59" t="s">
        <v>41</v>
      </c>
      <c r="K240" s="56"/>
      <c r="L240" s="53" t="s">
        <v>93</v>
      </c>
      <c r="M240" s="248" t="s">
        <v>620</v>
      </c>
      <c r="N240" s="299" t="s">
        <v>850</v>
      </c>
      <c r="O240" s="299"/>
      <c r="P240" s="299"/>
      <c r="X240" s="31"/>
      <c r="Y240" s="31"/>
    </row>
    <row r="241" spans="2:25" ht="15" x14ac:dyDescent="0.25">
      <c r="B241" s="9"/>
      <c r="C241" s="223" t="s">
        <v>497</v>
      </c>
      <c r="D241" s="45" t="s">
        <v>740</v>
      </c>
      <c r="E241" s="65">
        <v>1</v>
      </c>
      <c r="F241" s="65" t="s">
        <v>41</v>
      </c>
      <c r="G241" s="54">
        <f t="shared" si="20"/>
        <v>0</v>
      </c>
      <c r="H241" s="55" t="str">
        <f t="shared" si="21"/>
        <v>[kg / kg NG]</v>
      </c>
      <c r="I241" s="255">
        <f t="shared" si="22"/>
        <v>0</v>
      </c>
      <c r="J241" s="59" t="s">
        <v>41</v>
      </c>
      <c r="K241" s="56"/>
      <c r="L241" s="53" t="s">
        <v>93</v>
      </c>
      <c r="M241" s="248" t="s">
        <v>620</v>
      </c>
      <c r="N241" s="299" t="s">
        <v>850</v>
      </c>
      <c r="O241" s="299"/>
      <c r="P241" s="299"/>
      <c r="X241" s="31"/>
      <c r="Y241" s="31"/>
    </row>
    <row r="242" spans="2:25" ht="15" x14ac:dyDescent="0.25">
      <c r="B242" s="9"/>
      <c r="C242" s="223" t="s">
        <v>498</v>
      </c>
      <c r="D242" s="45" t="s">
        <v>741</v>
      </c>
      <c r="E242" s="65">
        <v>1</v>
      </c>
      <c r="F242" s="65" t="s">
        <v>41</v>
      </c>
      <c r="G242" s="54">
        <f t="shared" si="20"/>
        <v>0</v>
      </c>
      <c r="H242" s="55" t="str">
        <f t="shared" si="21"/>
        <v>[kg / kg NG]</v>
      </c>
      <c r="I242" s="255">
        <f t="shared" si="22"/>
        <v>0</v>
      </c>
      <c r="J242" s="59" t="s">
        <v>41</v>
      </c>
      <c r="K242" s="56"/>
      <c r="L242" s="53" t="s">
        <v>93</v>
      </c>
      <c r="M242" s="248" t="s">
        <v>620</v>
      </c>
      <c r="N242" s="299" t="s">
        <v>850</v>
      </c>
      <c r="O242" s="299"/>
      <c r="P242" s="299"/>
      <c r="X242" s="31"/>
      <c r="Y242" s="31"/>
    </row>
    <row r="243" spans="2:25" ht="15" x14ac:dyDescent="0.25">
      <c r="B243" s="9"/>
      <c r="C243" s="223" t="s">
        <v>499</v>
      </c>
      <c r="D243" s="45" t="s">
        <v>742</v>
      </c>
      <c r="E243" s="65">
        <v>1</v>
      </c>
      <c r="F243" s="65" t="s">
        <v>41</v>
      </c>
      <c r="G243" s="54">
        <f t="shared" si="20"/>
        <v>0</v>
      </c>
      <c r="H243" s="55" t="str">
        <f t="shared" si="21"/>
        <v>[kg / kg NG]</v>
      </c>
      <c r="I243" s="255">
        <f>IF(D243="","",E243*G243*$D$5)</f>
        <v>0</v>
      </c>
      <c r="J243" s="59" t="s">
        <v>41</v>
      </c>
      <c r="K243" s="56"/>
      <c r="L243" s="53" t="s">
        <v>93</v>
      </c>
      <c r="M243" s="248" t="s">
        <v>620</v>
      </c>
      <c r="N243" s="299" t="s">
        <v>850</v>
      </c>
      <c r="O243" s="299"/>
      <c r="P243" s="299"/>
      <c r="X243" s="31"/>
      <c r="Y243" s="31"/>
    </row>
    <row r="244" spans="2:25" ht="15" x14ac:dyDescent="0.25">
      <c r="B244" s="9"/>
      <c r="C244" s="223" t="s">
        <v>500</v>
      </c>
      <c r="D244" s="45" t="s">
        <v>743</v>
      </c>
      <c r="E244" s="65">
        <v>1</v>
      </c>
      <c r="F244" s="65" t="s">
        <v>41</v>
      </c>
      <c r="G244" s="54">
        <f t="shared" si="20"/>
        <v>0</v>
      </c>
      <c r="H244" s="55" t="str">
        <f t="shared" si="21"/>
        <v>[kg / kg NG]</v>
      </c>
      <c r="I244" s="255">
        <f t="shared" si="22"/>
        <v>0</v>
      </c>
      <c r="J244" s="59" t="s">
        <v>41</v>
      </c>
      <c r="K244" s="56"/>
      <c r="L244" s="53" t="s">
        <v>93</v>
      </c>
      <c r="M244" s="248" t="s">
        <v>620</v>
      </c>
      <c r="N244" s="299" t="s">
        <v>850</v>
      </c>
      <c r="O244" s="299"/>
      <c r="P244" s="299"/>
      <c r="X244" s="31"/>
      <c r="Y244" s="31"/>
    </row>
    <row r="245" spans="2:25" ht="15" x14ac:dyDescent="0.25">
      <c r="B245" s="9"/>
      <c r="C245" s="223" t="s">
        <v>501</v>
      </c>
      <c r="D245" s="45" t="s">
        <v>744</v>
      </c>
      <c r="E245" s="65">
        <v>1</v>
      </c>
      <c r="F245" s="65" t="s">
        <v>41</v>
      </c>
      <c r="G245" s="54">
        <f t="shared" si="20"/>
        <v>0</v>
      </c>
      <c r="H245" s="55" t="str">
        <f t="shared" si="21"/>
        <v>[kg / kg NG]</v>
      </c>
      <c r="I245" s="255">
        <f t="shared" si="22"/>
        <v>0</v>
      </c>
      <c r="J245" s="59" t="s">
        <v>41</v>
      </c>
      <c r="K245" s="56"/>
      <c r="L245" s="53" t="s">
        <v>93</v>
      </c>
      <c r="M245" s="248" t="s">
        <v>620</v>
      </c>
      <c r="N245" s="299" t="s">
        <v>850</v>
      </c>
      <c r="O245" s="299"/>
      <c r="P245" s="299"/>
      <c r="X245" s="31"/>
      <c r="Y245" s="31"/>
    </row>
    <row r="246" spans="2:25" ht="15" x14ac:dyDescent="0.25">
      <c r="B246" s="9"/>
      <c r="C246" s="223" t="s">
        <v>502</v>
      </c>
      <c r="D246" s="45" t="s">
        <v>745</v>
      </c>
      <c r="E246" s="65">
        <v>1</v>
      </c>
      <c r="F246" s="65" t="s">
        <v>41</v>
      </c>
      <c r="G246" s="54">
        <f t="shared" si="20"/>
        <v>0</v>
      </c>
      <c r="H246" s="55" t="str">
        <f t="shared" si="21"/>
        <v>[kg / kg NG]</v>
      </c>
      <c r="I246" s="255">
        <f t="shared" ref="I246:I257" si="23">IF(D246="","",E246*G246*$D$5)</f>
        <v>0</v>
      </c>
      <c r="J246" s="59" t="s">
        <v>41</v>
      </c>
      <c r="K246" s="56"/>
      <c r="L246" s="53" t="s">
        <v>93</v>
      </c>
      <c r="M246" s="248" t="s">
        <v>620</v>
      </c>
      <c r="N246" s="299" t="s">
        <v>850</v>
      </c>
      <c r="O246" s="299"/>
      <c r="P246" s="299"/>
      <c r="X246" s="31"/>
      <c r="Y246" s="31"/>
    </row>
    <row r="247" spans="2:25" ht="15" x14ac:dyDescent="0.25">
      <c r="B247" s="9"/>
      <c r="C247" s="223" t="s">
        <v>503</v>
      </c>
      <c r="D247" s="45" t="s">
        <v>746</v>
      </c>
      <c r="E247" s="65">
        <v>1</v>
      </c>
      <c r="F247" s="65" t="s">
        <v>41</v>
      </c>
      <c r="G247" s="54">
        <f t="shared" si="20"/>
        <v>0</v>
      </c>
      <c r="H247" s="55" t="str">
        <f t="shared" si="21"/>
        <v>[kg / kg NG]</v>
      </c>
      <c r="I247" s="255">
        <f t="shared" si="23"/>
        <v>0</v>
      </c>
      <c r="J247" s="59" t="s">
        <v>41</v>
      </c>
      <c r="K247" s="56"/>
      <c r="L247" s="53" t="s">
        <v>93</v>
      </c>
      <c r="M247" s="248" t="s">
        <v>620</v>
      </c>
      <c r="N247" s="299" t="s">
        <v>850</v>
      </c>
      <c r="O247" s="299"/>
      <c r="P247" s="299"/>
      <c r="X247" s="31"/>
      <c r="Y247" s="31"/>
    </row>
    <row r="248" spans="2:25" ht="15" x14ac:dyDescent="0.25">
      <c r="B248" s="9"/>
      <c r="C248" s="223" t="s">
        <v>504</v>
      </c>
      <c r="D248" s="45" t="s">
        <v>747</v>
      </c>
      <c r="E248" s="65">
        <v>1</v>
      </c>
      <c r="F248" s="65" t="s">
        <v>41</v>
      </c>
      <c r="G248" s="54">
        <f t="shared" si="20"/>
        <v>6.4531387129540112E-10</v>
      </c>
      <c r="H248" s="55" t="str">
        <f t="shared" si="21"/>
        <v>[kg / kg NG]</v>
      </c>
      <c r="I248" s="255">
        <f t="shared" si="23"/>
        <v>6.4531387129540112E-10</v>
      </c>
      <c r="J248" s="59" t="s">
        <v>41</v>
      </c>
      <c r="K248" s="56"/>
      <c r="L248" s="53" t="s">
        <v>93</v>
      </c>
      <c r="M248" s="248" t="s">
        <v>620</v>
      </c>
      <c r="N248" s="299" t="s">
        <v>850</v>
      </c>
      <c r="O248" s="299"/>
      <c r="P248" s="299"/>
      <c r="X248" s="31"/>
      <c r="Y248" s="31"/>
    </row>
    <row r="249" spans="2:25" ht="15" x14ac:dyDescent="0.25">
      <c r="B249" s="9"/>
      <c r="C249" s="223" t="s">
        <v>505</v>
      </c>
      <c r="D249" s="45" t="s">
        <v>748</v>
      </c>
      <c r="E249" s="65">
        <v>1</v>
      </c>
      <c r="F249" s="65" t="s">
        <v>41</v>
      </c>
      <c r="G249" s="54">
        <f t="shared" si="20"/>
        <v>0</v>
      </c>
      <c r="H249" s="55" t="str">
        <f t="shared" si="21"/>
        <v>[kg / kg NG]</v>
      </c>
      <c r="I249" s="255">
        <f t="shared" si="23"/>
        <v>0</v>
      </c>
      <c r="J249" s="59" t="s">
        <v>41</v>
      </c>
      <c r="K249" s="56"/>
      <c r="L249" s="53" t="s">
        <v>93</v>
      </c>
      <c r="M249" s="248" t="s">
        <v>620</v>
      </c>
      <c r="N249" s="299" t="s">
        <v>850</v>
      </c>
      <c r="O249" s="299"/>
      <c r="P249" s="299"/>
      <c r="X249" s="31"/>
      <c r="Y249" s="31"/>
    </row>
    <row r="250" spans="2:25" ht="15" x14ac:dyDescent="0.25">
      <c r="B250" s="9"/>
      <c r="C250" s="223" t="s">
        <v>506</v>
      </c>
      <c r="D250" s="45" t="s">
        <v>749</v>
      </c>
      <c r="E250" s="65">
        <v>1</v>
      </c>
      <c r="F250" s="65" t="s">
        <v>41</v>
      </c>
      <c r="G250" s="54">
        <f t="shared" si="20"/>
        <v>1.1035139336758557E-8</v>
      </c>
      <c r="H250" s="55" t="str">
        <f t="shared" si="21"/>
        <v>[kg / kg NG]</v>
      </c>
      <c r="I250" s="255">
        <f t="shared" si="23"/>
        <v>1.1035139336758557E-8</v>
      </c>
      <c r="J250" s="59" t="s">
        <v>41</v>
      </c>
      <c r="K250" s="56"/>
      <c r="L250" s="53" t="s">
        <v>93</v>
      </c>
      <c r="M250" s="248" t="s">
        <v>620</v>
      </c>
      <c r="N250" s="299" t="s">
        <v>850</v>
      </c>
      <c r="O250" s="299"/>
      <c r="P250" s="299"/>
      <c r="X250" s="31"/>
      <c r="Y250" s="31"/>
    </row>
    <row r="251" spans="2:25" ht="15" x14ac:dyDescent="0.25">
      <c r="B251" s="9"/>
      <c r="C251" s="223" t="s">
        <v>507</v>
      </c>
      <c r="D251" s="45" t="s">
        <v>750</v>
      </c>
      <c r="E251" s="65">
        <v>1</v>
      </c>
      <c r="F251" s="65" t="s">
        <v>41</v>
      </c>
      <c r="G251" s="54">
        <f t="shared" si="20"/>
        <v>0</v>
      </c>
      <c r="H251" s="55" t="str">
        <f t="shared" si="21"/>
        <v>[kg / kg NG]</v>
      </c>
      <c r="I251" s="255">
        <f t="shared" si="23"/>
        <v>0</v>
      </c>
      <c r="J251" s="59" t="s">
        <v>41</v>
      </c>
      <c r="K251" s="56"/>
      <c r="L251" s="53" t="s">
        <v>93</v>
      </c>
      <c r="M251" s="248" t="s">
        <v>620</v>
      </c>
      <c r="N251" s="299" t="s">
        <v>850</v>
      </c>
      <c r="O251" s="299"/>
      <c r="P251" s="299"/>
      <c r="X251" s="31"/>
      <c r="Y251" s="31"/>
    </row>
    <row r="252" spans="2:25" ht="15" x14ac:dyDescent="0.25">
      <c r="B252" s="9"/>
      <c r="C252" s="223" t="s">
        <v>508</v>
      </c>
      <c r="D252" s="45" t="s">
        <v>751</v>
      </c>
      <c r="E252" s="65">
        <v>1</v>
      </c>
      <c r="F252" s="65" t="s">
        <v>41</v>
      </c>
      <c r="G252" s="54">
        <f t="shared" si="20"/>
        <v>0</v>
      </c>
      <c r="H252" s="55" t="str">
        <f t="shared" si="21"/>
        <v>[kg / kg NG]</v>
      </c>
      <c r="I252" s="255">
        <f t="shared" si="23"/>
        <v>0</v>
      </c>
      <c r="J252" s="59" t="s">
        <v>41</v>
      </c>
      <c r="K252" s="56"/>
      <c r="L252" s="53" t="s">
        <v>93</v>
      </c>
      <c r="M252" s="248" t="s">
        <v>620</v>
      </c>
      <c r="N252" s="299" t="s">
        <v>850</v>
      </c>
      <c r="O252" s="299"/>
      <c r="P252" s="299"/>
      <c r="X252" s="31"/>
      <c r="Y252" s="31"/>
    </row>
    <row r="253" spans="2:25" ht="15" x14ac:dyDescent="0.25">
      <c r="B253" s="9"/>
      <c r="C253" s="223" t="s">
        <v>509</v>
      </c>
      <c r="D253" s="45" t="s">
        <v>752</v>
      </c>
      <c r="E253" s="65">
        <v>1</v>
      </c>
      <c r="F253" s="65" t="s">
        <v>41</v>
      </c>
      <c r="G253" s="54">
        <f t="shared" si="20"/>
        <v>0</v>
      </c>
      <c r="H253" s="55" t="str">
        <f t="shared" si="21"/>
        <v>[kg / kg NG]</v>
      </c>
      <c r="I253" s="255">
        <f t="shared" si="23"/>
        <v>0</v>
      </c>
      <c r="J253" s="59" t="s">
        <v>41</v>
      </c>
      <c r="K253" s="56"/>
      <c r="L253" s="53" t="s">
        <v>93</v>
      </c>
      <c r="M253" s="248" t="s">
        <v>620</v>
      </c>
      <c r="N253" s="299" t="s">
        <v>850</v>
      </c>
      <c r="O253" s="299"/>
      <c r="P253" s="299"/>
      <c r="X253" s="31"/>
      <c r="Y253" s="31"/>
    </row>
    <row r="254" spans="2:25" ht="15" x14ac:dyDescent="0.25">
      <c r="B254" s="9"/>
      <c r="C254" s="223" t="s">
        <v>510</v>
      </c>
      <c r="D254" s="45" t="s">
        <v>753</v>
      </c>
      <c r="E254" s="65">
        <v>1</v>
      </c>
      <c r="F254" s="65" t="s">
        <v>41</v>
      </c>
      <c r="G254" s="54">
        <f t="shared" si="20"/>
        <v>0</v>
      </c>
      <c r="H254" s="55" t="str">
        <f t="shared" si="21"/>
        <v>[kg / kg NG]</v>
      </c>
      <c r="I254" s="255">
        <f t="shared" si="23"/>
        <v>0</v>
      </c>
      <c r="J254" s="59" t="s">
        <v>41</v>
      </c>
      <c r="K254" s="56"/>
      <c r="L254" s="53" t="s">
        <v>93</v>
      </c>
      <c r="M254" s="248" t="s">
        <v>620</v>
      </c>
      <c r="N254" s="299" t="s">
        <v>850</v>
      </c>
      <c r="O254" s="299"/>
      <c r="P254" s="299"/>
      <c r="X254" s="31"/>
      <c r="Y254" s="31"/>
    </row>
    <row r="255" spans="2:25" ht="15" x14ac:dyDescent="0.25">
      <c r="B255" s="9"/>
      <c r="C255" s="223" t="s">
        <v>511</v>
      </c>
      <c r="D255" s="45" t="s">
        <v>754</v>
      </c>
      <c r="E255" s="65">
        <v>1</v>
      </c>
      <c r="F255" s="65" t="s">
        <v>41</v>
      </c>
      <c r="G255" s="54">
        <f t="shared" si="20"/>
        <v>0</v>
      </c>
      <c r="H255" s="55" t="str">
        <f t="shared" si="21"/>
        <v>[kg / kg NG]</v>
      </c>
      <c r="I255" s="255">
        <f t="shared" si="23"/>
        <v>0</v>
      </c>
      <c r="J255" s="59" t="s">
        <v>41</v>
      </c>
      <c r="K255" s="56"/>
      <c r="L255" s="53" t="s">
        <v>93</v>
      </c>
      <c r="M255" s="248" t="s">
        <v>620</v>
      </c>
      <c r="N255" s="299" t="s">
        <v>850</v>
      </c>
      <c r="O255" s="299"/>
      <c r="P255" s="299"/>
      <c r="X255" s="31"/>
      <c r="Y255" s="31"/>
    </row>
    <row r="256" spans="2:25" ht="15" x14ac:dyDescent="0.25">
      <c r="B256" s="9"/>
      <c r="C256" s="224" t="s">
        <v>512</v>
      </c>
      <c r="D256" s="45" t="s">
        <v>755</v>
      </c>
      <c r="E256" s="65">
        <v>1</v>
      </c>
      <c r="F256" s="65" t="s">
        <v>41</v>
      </c>
      <c r="G256" s="54">
        <f t="shared" si="20"/>
        <v>8.417600013843734E-10</v>
      </c>
      <c r="H256" s="55" t="str">
        <f t="shared" si="21"/>
        <v>[kg / kg NG]</v>
      </c>
      <c r="I256" s="255">
        <f t="shared" si="23"/>
        <v>8.417600013843734E-10</v>
      </c>
      <c r="J256" s="59" t="s">
        <v>41</v>
      </c>
      <c r="K256" s="56"/>
      <c r="L256" s="53" t="s">
        <v>93</v>
      </c>
      <c r="M256" s="248" t="s">
        <v>620</v>
      </c>
      <c r="N256" s="299" t="s">
        <v>850</v>
      </c>
      <c r="O256" s="299"/>
      <c r="P256" s="299"/>
      <c r="X256" s="31"/>
      <c r="Y256" s="31"/>
    </row>
    <row r="257" spans="2:25" ht="15" x14ac:dyDescent="0.25">
      <c r="B257" s="9"/>
      <c r="C257" s="223" t="s">
        <v>513</v>
      </c>
      <c r="D257" s="45" t="s">
        <v>756</v>
      </c>
      <c r="E257" s="65">
        <v>1</v>
      </c>
      <c r="F257" s="65" t="s">
        <v>41</v>
      </c>
      <c r="G257" s="54">
        <f t="shared" si="20"/>
        <v>0</v>
      </c>
      <c r="H257" s="55" t="str">
        <f t="shared" si="21"/>
        <v>[kg / kg NG]</v>
      </c>
      <c r="I257" s="255">
        <f t="shared" si="23"/>
        <v>0</v>
      </c>
      <c r="J257" s="59" t="s">
        <v>41</v>
      </c>
      <c r="K257" s="56"/>
      <c r="L257" s="53" t="s">
        <v>93</v>
      </c>
      <c r="M257" s="248" t="s">
        <v>620</v>
      </c>
      <c r="N257" s="299" t="s">
        <v>850</v>
      </c>
      <c r="O257" s="299"/>
      <c r="P257" s="299"/>
      <c r="X257" s="31"/>
      <c r="Y257" s="31"/>
    </row>
    <row r="258" spans="2:25" ht="15" x14ac:dyDescent="0.25">
      <c r="B258" s="9"/>
      <c r="C258" s="224" t="s">
        <v>514</v>
      </c>
      <c r="D258" s="45" t="s">
        <v>757</v>
      </c>
      <c r="E258" s="65">
        <v>1</v>
      </c>
      <c r="F258" s="65" t="s">
        <v>41</v>
      </c>
      <c r="G258" s="54">
        <f t="shared" si="20"/>
        <v>0</v>
      </c>
      <c r="H258" s="55" t="str">
        <f t="shared" si="21"/>
        <v>[kg / kg NG]</v>
      </c>
      <c r="I258" s="255">
        <f t="shared" ref="I258:I274" si="24">IF(D258="","",E258*G258*$D$5)</f>
        <v>0</v>
      </c>
      <c r="J258" s="59" t="s">
        <v>41</v>
      </c>
      <c r="K258" s="56"/>
      <c r="L258" s="53" t="s">
        <v>93</v>
      </c>
      <c r="M258" s="248" t="s">
        <v>620</v>
      </c>
      <c r="N258" s="299" t="s">
        <v>850</v>
      </c>
      <c r="O258" s="299"/>
      <c r="P258" s="299"/>
      <c r="X258" s="31"/>
      <c r="Y258" s="31"/>
    </row>
    <row r="259" spans="2:25" ht="15" x14ac:dyDescent="0.25">
      <c r="B259" s="9"/>
      <c r="C259" s="223" t="s">
        <v>515</v>
      </c>
      <c r="D259" s="45" t="s">
        <v>758</v>
      </c>
      <c r="E259" s="65">
        <v>1</v>
      </c>
      <c r="F259" s="65" t="s">
        <v>41</v>
      </c>
      <c r="G259" s="54">
        <f t="shared" si="20"/>
        <v>4.3714284718833868E-10</v>
      </c>
      <c r="H259" s="55" t="str">
        <f t="shared" si="21"/>
        <v>[kg / kg NG]</v>
      </c>
      <c r="I259" s="255">
        <f t="shared" si="24"/>
        <v>4.3714284718833868E-10</v>
      </c>
      <c r="J259" s="59" t="s">
        <v>41</v>
      </c>
      <c r="K259" s="56"/>
      <c r="L259" s="53" t="s">
        <v>93</v>
      </c>
      <c r="M259" s="248" t="s">
        <v>620</v>
      </c>
      <c r="N259" s="299" t="s">
        <v>850</v>
      </c>
      <c r="O259" s="299"/>
      <c r="P259" s="299"/>
      <c r="X259" s="31"/>
      <c r="Y259" s="31"/>
    </row>
    <row r="260" spans="2:25" ht="15" x14ac:dyDescent="0.25">
      <c r="B260" s="9"/>
      <c r="C260" s="223" t="s">
        <v>516</v>
      </c>
      <c r="D260" s="45" t="s">
        <v>759</v>
      </c>
      <c r="E260" s="65">
        <v>1</v>
      </c>
      <c r="F260" s="65" t="s">
        <v>41</v>
      </c>
      <c r="G260" s="54">
        <f t="shared" si="20"/>
        <v>0</v>
      </c>
      <c r="H260" s="55" t="str">
        <f t="shared" si="21"/>
        <v>[kg / kg NG]</v>
      </c>
      <c r="I260" s="255">
        <f t="shared" si="24"/>
        <v>0</v>
      </c>
      <c r="J260" s="59" t="s">
        <v>41</v>
      </c>
      <c r="K260" s="56"/>
      <c r="L260" s="53" t="s">
        <v>93</v>
      </c>
      <c r="M260" s="248" t="s">
        <v>620</v>
      </c>
      <c r="N260" s="299" t="s">
        <v>850</v>
      </c>
      <c r="O260" s="299"/>
      <c r="P260" s="299"/>
      <c r="X260" s="31"/>
      <c r="Y260" s="31"/>
    </row>
    <row r="261" spans="2:25" ht="15" x14ac:dyDescent="0.25">
      <c r="B261" s="9"/>
      <c r="C261" s="223" t="s">
        <v>517</v>
      </c>
      <c r="D261" s="45" t="s">
        <v>760</v>
      </c>
      <c r="E261" s="65">
        <v>1</v>
      </c>
      <c r="F261" s="65" t="s">
        <v>41</v>
      </c>
      <c r="G261" s="54">
        <f t="shared" si="20"/>
        <v>1.466793901059425E-10</v>
      </c>
      <c r="H261" s="55" t="str">
        <f t="shared" si="21"/>
        <v>[kg / kg NG]</v>
      </c>
      <c r="I261" s="255">
        <f t="shared" si="24"/>
        <v>1.466793901059425E-10</v>
      </c>
      <c r="J261" s="59" t="s">
        <v>41</v>
      </c>
      <c r="K261" s="56"/>
      <c r="L261" s="53" t="s">
        <v>93</v>
      </c>
      <c r="M261" s="248" t="s">
        <v>620</v>
      </c>
      <c r="N261" s="299" t="s">
        <v>850</v>
      </c>
      <c r="O261" s="299"/>
      <c r="P261" s="299"/>
      <c r="X261" s="31"/>
      <c r="Y261" s="31"/>
    </row>
    <row r="262" spans="2:25" ht="15" x14ac:dyDescent="0.25">
      <c r="B262" s="9"/>
      <c r="C262" s="223" t="s">
        <v>518</v>
      </c>
      <c r="D262" s="45" t="s">
        <v>761</v>
      </c>
      <c r="E262" s="65">
        <v>1</v>
      </c>
      <c r="F262" s="65" t="s">
        <v>41</v>
      </c>
      <c r="G262" s="54">
        <f t="shared" si="20"/>
        <v>0</v>
      </c>
      <c r="H262" s="55" t="str">
        <f t="shared" si="21"/>
        <v>[kg / kg NG]</v>
      </c>
      <c r="I262" s="255">
        <f t="shared" si="24"/>
        <v>0</v>
      </c>
      <c r="J262" s="59" t="s">
        <v>41</v>
      </c>
      <c r="K262" s="56"/>
      <c r="L262" s="53" t="s">
        <v>93</v>
      </c>
      <c r="M262" s="248" t="s">
        <v>620</v>
      </c>
      <c r="N262" s="299" t="s">
        <v>850</v>
      </c>
      <c r="O262" s="299"/>
      <c r="P262" s="299"/>
      <c r="X262" s="31"/>
      <c r="Y262" s="31"/>
    </row>
    <row r="263" spans="2:25" ht="15" x14ac:dyDescent="0.25">
      <c r="B263" s="9"/>
      <c r="C263" s="223" t="s">
        <v>519</v>
      </c>
      <c r="D263" s="45" t="s">
        <v>762</v>
      </c>
      <c r="E263" s="65">
        <v>1</v>
      </c>
      <c r="F263" s="65" t="s">
        <v>41</v>
      </c>
      <c r="G263" s="54">
        <f t="shared" si="20"/>
        <v>0</v>
      </c>
      <c r="H263" s="55" t="str">
        <f t="shared" si="21"/>
        <v>[kg / kg NG]</v>
      </c>
      <c r="I263" s="255">
        <f t="shared" si="24"/>
        <v>0</v>
      </c>
      <c r="J263" s="59" t="s">
        <v>41</v>
      </c>
      <c r="K263" s="56"/>
      <c r="L263" s="53" t="s">
        <v>93</v>
      </c>
      <c r="M263" s="248" t="s">
        <v>620</v>
      </c>
      <c r="N263" s="299" t="s">
        <v>850</v>
      </c>
      <c r="O263" s="299"/>
      <c r="P263" s="299"/>
      <c r="X263" s="31"/>
      <c r="Y263" s="31"/>
    </row>
    <row r="264" spans="2:25" ht="15" x14ac:dyDescent="0.25">
      <c r="B264" s="9"/>
      <c r="C264" s="223" t="s">
        <v>520</v>
      </c>
      <c r="D264" s="45" t="s">
        <v>763</v>
      </c>
      <c r="E264" s="65">
        <v>1</v>
      </c>
      <c r="F264" s="65" t="s">
        <v>41</v>
      </c>
      <c r="G264" s="54">
        <f t="shared" si="20"/>
        <v>0</v>
      </c>
      <c r="H264" s="55" t="str">
        <f t="shared" si="21"/>
        <v>[kg / kg NG]</v>
      </c>
      <c r="I264" s="255">
        <f t="shared" si="24"/>
        <v>0</v>
      </c>
      <c r="J264" s="59" t="s">
        <v>41</v>
      </c>
      <c r="K264" s="56"/>
      <c r="L264" s="53" t="s">
        <v>93</v>
      </c>
      <c r="M264" s="248" t="s">
        <v>620</v>
      </c>
      <c r="N264" s="299" t="s">
        <v>850</v>
      </c>
      <c r="O264" s="299"/>
      <c r="P264" s="299"/>
      <c r="X264" s="31"/>
      <c r="Y264" s="31"/>
    </row>
    <row r="265" spans="2:25" ht="15" x14ac:dyDescent="0.25">
      <c r="B265" s="9"/>
      <c r="C265" s="223" t="s">
        <v>521</v>
      </c>
      <c r="D265" s="45" t="s">
        <v>764</v>
      </c>
      <c r="E265" s="65">
        <v>1</v>
      </c>
      <c r="F265" s="65" t="s">
        <v>41</v>
      </c>
      <c r="G265" s="54">
        <f t="shared" si="20"/>
        <v>0</v>
      </c>
      <c r="H265" s="55" t="str">
        <f t="shared" si="21"/>
        <v>[kg / kg NG]</v>
      </c>
      <c r="I265" s="255">
        <f t="shared" si="24"/>
        <v>0</v>
      </c>
      <c r="J265" s="59" t="s">
        <v>41</v>
      </c>
      <c r="K265" s="56"/>
      <c r="L265" s="53" t="s">
        <v>93</v>
      </c>
      <c r="M265" s="248" t="s">
        <v>620</v>
      </c>
      <c r="N265" s="299" t="s">
        <v>850</v>
      </c>
      <c r="O265" s="299"/>
      <c r="P265" s="299"/>
      <c r="X265" s="31"/>
      <c r="Y265" s="31"/>
    </row>
    <row r="266" spans="2:25" ht="15" x14ac:dyDescent="0.25">
      <c r="B266" s="9"/>
      <c r="C266" s="223" t="s">
        <v>522</v>
      </c>
      <c r="D266" s="45" t="s">
        <v>765</v>
      </c>
      <c r="E266" s="65">
        <v>1</v>
      </c>
      <c r="F266" s="65" t="s">
        <v>41</v>
      </c>
      <c r="G266" s="54">
        <f t="shared" si="20"/>
        <v>0</v>
      </c>
      <c r="H266" s="55" t="str">
        <f t="shared" si="21"/>
        <v>[kg / kg NG]</v>
      </c>
      <c r="I266" s="255">
        <f t="shared" si="24"/>
        <v>0</v>
      </c>
      <c r="J266" s="59" t="s">
        <v>41</v>
      </c>
      <c r="K266" s="56"/>
      <c r="L266" s="53" t="s">
        <v>93</v>
      </c>
      <c r="M266" s="248" t="s">
        <v>620</v>
      </c>
      <c r="N266" s="299" t="s">
        <v>850</v>
      </c>
      <c r="O266" s="299"/>
      <c r="P266" s="299"/>
      <c r="X266" s="31"/>
      <c r="Y266" s="31"/>
    </row>
    <row r="267" spans="2:25" ht="15" x14ac:dyDescent="0.25">
      <c r="B267" s="9"/>
      <c r="C267" s="223" t="s">
        <v>523</v>
      </c>
      <c r="D267" s="45" t="s">
        <v>766</v>
      </c>
      <c r="E267" s="65">
        <v>1</v>
      </c>
      <c r="F267" s="65" t="s">
        <v>41</v>
      </c>
      <c r="G267" s="54">
        <f t="shared" si="20"/>
        <v>0</v>
      </c>
      <c r="H267" s="55" t="str">
        <f t="shared" si="21"/>
        <v>[kg / kg NG]</v>
      </c>
      <c r="I267" s="255">
        <f t="shared" si="24"/>
        <v>0</v>
      </c>
      <c r="J267" s="59" t="s">
        <v>41</v>
      </c>
      <c r="K267" s="56"/>
      <c r="L267" s="53" t="s">
        <v>93</v>
      </c>
      <c r="M267" s="248" t="s">
        <v>620</v>
      </c>
      <c r="N267" s="299" t="s">
        <v>850</v>
      </c>
      <c r="O267" s="299"/>
      <c r="P267" s="299"/>
      <c r="X267" s="31"/>
      <c r="Y267" s="31"/>
    </row>
    <row r="268" spans="2:25" ht="15" x14ac:dyDescent="0.25">
      <c r="B268" s="9"/>
      <c r="C268" s="223" t="s">
        <v>524</v>
      </c>
      <c r="D268" s="45" t="s">
        <v>767</v>
      </c>
      <c r="E268" s="65">
        <v>1</v>
      </c>
      <c r="F268" s="65" t="s">
        <v>41</v>
      </c>
      <c r="G268" s="54">
        <f t="shared" si="20"/>
        <v>0</v>
      </c>
      <c r="H268" s="55" t="str">
        <f t="shared" si="21"/>
        <v>[kg / kg NG]</v>
      </c>
      <c r="I268" s="255">
        <f t="shared" si="24"/>
        <v>0</v>
      </c>
      <c r="J268" s="59" t="s">
        <v>41</v>
      </c>
      <c r="K268" s="56"/>
      <c r="L268" s="53" t="s">
        <v>93</v>
      </c>
      <c r="M268" s="248" t="s">
        <v>620</v>
      </c>
      <c r="N268" s="299" t="s">
        <v>850</v>
      </c>
      <c r="O268" s="299"/>
      <c r="P268" s="299"/>
      <c r="X268" s="31"/>
      <c r="Y268" s="31"/>
    </row>
    <row r="269" spans="2:25" ht="15" x14ac:dyDescent="0.25">
      <c r="B269" s="9"/>
      <c r="C269" s="223" t="s">
        <v>525</v>
      </c>
      <c r="D269" s="45" t="s">
        <v>768</v>
      </c>
      <c r="E269" s="65">
        <v>1</v>
      </c>
      <c r="F269" s="65" t="s">
        <v>41</v>
      </c>
      <c r="G269" s="54">
        <f t="shared" ref="G269:G358" si="25">IF($C269="",1,VLOOKUP($C269,$C$22:$H$217,3,FALSE))</f>
        <v>6.6543728919072017E-9</v>
      </c>
      <c r="H269" s="55" t="str">
        <f t="shared" ref="H269:H358" si="26">IF($C269="","",VLOOKUP($C269,$C$22:$H$217,6,FALSE))</f>
        <v>[kg / kg NG]</v>
      </c>
      <c r="I269" s="255">
        <f t="shared" si="24"/>
        <v>6.6543728919072017E-9</v>
      </c>
      <c r="J269" s="59" t="s">
        <v>41</v>
      </c>
      <c r="K269" s="56"/>
      <c r="L269" s="53" t="s">
        <v>93</v>
      </c>
      <c r="M269" s="248" t="s">
        <v>620</v>
      </c>
      <c r="N269" s="299" t="s">
        <v>850</v>
      </c>
      <c r="O269" s="299"/>
      <c r="P269" s="299"/>
      <c r="X269" s="31"/>
      <c r="Y269" s="31"/>
    </row>
    <row r="270" spans="2:25" ht="15" x14ac:dyDescent="0.25">
      <c r="B270" s="9"/>
      <c r="C270" s="223" t="s">
        <v>526</v>
      </c>
      <c r="D270" s="45" t="s">
        <v>769</v>
      </c>
      <c r="E270" s="65">
        <v>1</v>
      </c>
      <c r="F270" s="65" t="s">
        <v>41</v>
      </c>
      <c r="G270" s="54">
        <f t="shared" si="25"/>
        <v>0</v>
      </c>
      <c r="H270" s="55" t="str">
        <f t="shared" si="26"/>
        <v>[kg / kg NG]</v>
      </c>
      <c r="I270" s="255">
        <f t="shared" si="24"/>
        <v>0</v>
      </c>
      <c r="J270" s="59" t="s">
        <v>41</v>
      </c>
      <c r="K270" s="56"/>
      <c r="L270" s="53" t="s">
        <v>93</v>
      </c>
      <c r="M270" s="248" t="s">
        <v>620</v>
      </c>
      <c r="N270" s="299" t="s">
        <v>850</v>
      </c>
      <c r="O270" s="299"/>
      <c r="P270" s="299"/>
      <c r="X270" s="31"/>
      <c r="Y270" s="31"/>
    </row>
    <row r="271" spans="2:25" ht="15" x14ac:dyDescent="0.25">
      <c r="B271" s="9"/>
      <c r="C271" s="223" t="s">
        <v>527</v>
      </c>
      <c r="D271" s="45" t="s">
        <v>770</v>
      </c>
      <c r="E271" s="65">
        <v>1</v>
      </c>
      <c r="F271" s="65" t="s">
        <v>41</v>
      </c>
      <c r="G271" s="54">
        <f t="shared" si="25"/>
        <v>0</v>
      </c>
      <c r="H271" s="55" t="str">
        <f t="shared" si="26"/>
        <v>[kg / kg NG]</v>
      </c>
      <c r="I271" s="255">
        <f t="shared" si="24"/>
        <v>0</v>
      </c>
      <c r="J271" s="59" t="s">
        <v>41</v>
      </c>
      <c r="K271" s="56"/>
      <c r="L271" s="53" t="s">
        <v>93</v>
      </c>
      <c r="M271" s="248" t="s">
        <v>620</v>
      </c>
      <c r="N271" s="299" t="s">
        <v>850</v>
      </c>
      <c r="O271" s="299"/>
      <c r="P271" s="299"/>
      <c r="X271" s="31"/>
      <c r="Y271" s="31"/>
    </row>
    <row r="272" spans="2:25" ht="15" x14ac:dyDescent="0.25">
      <c r="B272" s="9"/>
      <c r="C272" s="223" t="s">
        <v>528</v>
      </c>
      <c r="D272" s="45" t="s">
        <v>771</v>
      </c>
      <c r="E272" s="65">
        <v>1</v>
      </c>
      <c r="F272" s="65" t="s">
        <v>41</v>
      </c>
      <c r="G272" s="54">
        <f t="shared" si="25"/>
        <v>0</v>
      </c>
      <c r="H272" s="55" t="str">
        <f t="shared" si="26"/>
        <v>[kg / kg NG]</v>
      </c>
      <c r="I272" s="255">
        <f t="shared" si="24"/>
        <v>0</v>
      </c>
      <c r="J272" s="59" t="s">
        <v>41</v>
      </c>
      <c r="K272" s="56"/>
      <c r="L272" s="53" t="s">
        <v>93</v>
      </c>
      <c r="M272" s="248" t="s">
        <v>620</v>
      </c>
      <c r="N272" s="299" t="s">
        <v>850</v>
      </c>
      <c r="O272" s="299"/>
      <c r="P272" s="299"/>
      <c r="X272" s="31"/>
      <c r="Y272" s="31"/>
    </row>
    <row r="273" spans="2:25" ht="15" x14ac:dyDescent="0.25">
      <c r="B273" s="9"/>
      <c r="C273" s="223" t="s">
        <v>529</v>
      </c>
      <c r="D273" s="45" t="s">
        <v>772</v>
      </c>
      <c r="E273" s="65">
        <v>1</v>
      </c>
      <c r="F273" s="65" t="s">
        <v>41</v>
      </c>
      <c r="G273" s="54">
        <f t="shared" si="25"/>
        <v>0</v>
      </c>
      <c r="H273" s="55" t="str">
        <f t="shared" si="26"/>
        <v>[kg / kg NG]</v>
      </c>
      <c r="I273" s="255">
        <f t="shared" si="24"/>
        <v>0</v>
      </c>
      <c r="J273" s="59" t="s">
        <v>41</v>
      </c>
      <c r="K273" s="56"/>
      <c r="L273" s="53" t="s">
        <v>93</v>
      </c>
      <c r="M273" s="248" t="s">
        <v>620</v>
      </c>
      <c r="N273" s="299" t="s">
        <v>850</v>
      </c>
      <c r="O273" s="299"/>
      <c r="P273" s="299"/>
      <c r="X273" s="31"/>
      <c r="Y273" s="31"/>
    </row>
    <row r="274" spans="2:25" ht="15" x14ac:dyDescent="0.25">
      <c r="B274" s="9"/>
      <c r="C274" s="223" t="s">
        <v>530</v>
      </c>
      <c r="D274" s="45" t="s">
        <v>773</v>
      </c>
      <c r="E274" s="65">
        <v>1</v>
      </c>
      <c r="F274" s="65" t="s">
        <v>41</v>
      </c>
      <c r="G274" s="54">
        <f t="shared" si="25"/>
        <v>0</v>
      </c>
      <c r="H274" s="55" t="str">
        <f t="shared" si="26"/>
        <v>[kg / kg NG]</v>
      </c>
      <c r="I274" s="255">
        <f t="shared" si="24"/>
        <v>0</v>
      </c>
      <c r="J274" s="59" t="s">
        <v>41</v>
      </c>
      <c r="K274" s="56"/>
      <c r="L274" s="53" t="s">
        <v>93</v>
      </c>
      <c r="M274" s="248" t="s">
        <v>620</v>
      </c>
      <c r="N274" s="299" t="s">
        <v>850</v>
      </c>
      <c r="O274" s="299"/>
      <c r="P274" s="299"/>
      <c r="X274" s="31"/>
      <c r="Y274" s="31"/>
    </row>
    <row r="275" spans="2:25" ht="15" x14ac:dyDescent="0.25">
      <c r="B275" s="9"/>
      <c r="C275" s="223" t="s">
        <v>531</v>
      </c>
      <c r="D275" s="45" t="s">
        <v>774</v>
      </c>
      <c r="E275" s="65">
        <v>1</v>
      </c>
      <c r="F275" s="65" t="s">
        <v>41</v>
      </c>
      <c r="G275" s="54">
        <f t="shared" si="25"/>
        <v>5.2853344509017331E-10</v>
      </c>
      <c r="H275" s="55" t="str">
        <f t="shared" si="26"/>
        <v>[kg / kg NG]</v>
      </c>
      <c r="I275" s="255">
        <f>IF(D275="","",E275*G275*$D$5)</f>
        <v>5.2853344509017331E-10</v>
      </c>
      <c r="J275" s="59" t="s">
        <v>41</v>
      </c>
      <c r="K275" s="56"/>
      <c r="L275" s="53" t="s">
        <v>93</v>
      </c>
      <c r="M275" s="248" t="s">
        <v>620</v>
      </c>
      <c r="N275" s="299" t="s">
        <v>850</v>
      </c>
      <c r="O275" s="299"/>
      <c r="P275" s="299"/>
      <c r="X275" s="31"/>
      <c r="Y275" s="31"/>
    </row>
    <row r="276" spans="2:25" ht="15" x14ac:dyDescent="0.25">
      <c r="B276" s="9"/>
      <c r="C276" s="223" t="s">
        <v>532</v>
      </c>
      <c r="D276" s="45" t="s">
        <v>775</v>
      </c>
      <c r="E276" s="65">
        <v>1</v>
      </c>
      <c r="F276" s="65" t="s">
        <v>41</v>
      </c>
      <c r="G276" s="54">
        <f t="shared" si="25"/>
        <v>0</v>
      </c>
      <c r="H276" s="55" t="str">
        <f t="shared" si="26"/>
        <v>[kg / kg NG]</v>
      </c>
      <c r="I276" s="255">
        <f t="shared" si="22"/>
        <v>0</v>
      </c>
      <c r="J276" s="59" t="s">
        <v>41</v>
      </c>
      <c r="K276" s="56"/>
      <c r="L276" s="53" t="s">
        <v>93</v>
      </c>
      <c r="M276" s="248" t="s">
        <v>620</v>
      </c>
      <c r="N276" s="299" t="s">
        <v>850</v>
      </c>
      <c r="O276" s="299"/>
      <c r="P276" s="299"/>
      <c r="X276" s="31"/>
      <c r="Y276" s="31"/>
    </row>
    <row r="277" spans="2:25" ht="15" x14ac:dyDescent="0.25">
      <c r="B277" s="9"/>
      <c r="C277" s="223" t="s">
        <v>533</v>
      </c>
      <c r="D277" s="45" t="s">
        <v>776</v>
      </c>
      <c r="E277" s="65">
        <v>1</v>
      </c>
      <c r="F277" s="65" t="s">
        <v>41</v>
      </c>
      <c r="G277" s="54">
        <f t="shared" si="25"/>
        <v>0</v>
      </c>
      <c r="H277" s="55" t="str">
        <f t="shared" si="26"/>
        <v>[kg / kg NG]</v>
      </c>
      <c r="I277" s="255">
        <f t="shared" si="22"/>
        <v>0</v>
      </c>
      <c r="J277" s="59" t="s">
        <v>41</v>
      </c>
      <c r="K277" s="56"/>
      <c r="L277" s="53" t="s">
        <v>93</v>
      </c>
      <c r="M277" s="248" t="s">
        <v>620</v>
      </c>
      <c r="N277" s="299" t="s">
        <v>850</v>
      </c>
      <c r="O277" s="299"/>
      <c r="P277" s="299"/>
      <c r="X277" s="31"/>
      <c r="Y277" s="31"/>
    </row>
    <row r="278" spans="2:25" ht="15" x14ac:dyDescent="0.25">
      <c r="B278" s="9"/>
      <c r="C278" s="224" t="s">
        <v>534</v>
      </c>
      <c r="D278" s="45" t="s">
        <v>777</v>
      </c>
      <c r="E278" s="65">
        <v>1</v>
      </c>
      <c r="F278" s="65" t="s">
        <v>41</v>
      </c>
      <c r="G278" s="54">
        <f t="shared" si="25"/>
        <v>0</v>
      </c>
      <c r="H278" s="55" t="str">
        <f t="shared" si="26"/>
        <v>[kg / kg NG]</v>
      </c>
      <c r="I278" s="255">
        <f t="shared" si="22"/>
        <v>0</v>
      </c>
      <c r="J278" s="59" t="s">
        <v>41</v>
      </c>
      <c r="K278" s="56"/>
      <c r="L278" s="53" t="s">
        <v>93</v>
      </c>
      <c r="M278" s="248" t="s">
        <v>620</v>
      </c>
      <c r="N278" s="299" t="s">
        <v>850</v>
      </c>
      <c r="O278" s="299"/>
      <c r="P278" s="299"/>
      <c r="X278" s="31"/>
      <c r="Y278" s="31"/>
    </row>
    <row r="279" spans="2:25" ht="15" x14ac:dyDescent="0.25">
      <c r="B279" s="9"/>
      <c r="C279" s="223" t="s">
        <v>535</v>
      </c>
      <c r="D279" s="45" t="s">
        <v>778</v>
      </c>
      <c r="E279" s="65">
        <v>1</v>
      </c>
      <c r="F279" s="65" t="s">
        <v>41</v>
      </c>
      <c r="G279" s="54">
        <f t="shared" si="25"/>
        <v>0</v>
      </c>
      <c r="H279" s="55" t="str">
        <f t="shared" si="26"/>
        <v>[kg / kg NG]</v>
      </c>
      <c r="I279" s="255">
        <f t="shared" si="22"/>
        <v>0</v>
      </c>
      <c r="J279" s="59" t="s">
        <v>41</v>
      </c>
      <c r="K279" s="56"/>
      <c r="L279" s="53" t="s">
        <v>93</v>
      </c>
      <c r="M279" s="248" t="s">
        <v>620</v>
      </c>
      <c r="N279" s="299" t="s">
        <v>850</v>
      </c>
      <c r="O279" s="299"/>
      <c r="P279" s="299"/>
      <c r="X279" s="31"/>
      <c r="Y279" s="31"/>
    </row>
    <row r="280" spans="2:25" ht="15" x14ac:dyDescent="0.25">
      <c r="B280" s="9"/>
      <c r="C280" s="223" t="s">
        <v>536</v>
      </c>
      <c r="D280" s="45" t="s">
        <v>779</v>
      </c>
      <c r="E280" s="65">
        <v>1</v>
      </c>
      <c r="F280" s="65" t="s">
        <v>41</v>
      </c>
      <c r="G280" s="54">
        <f t="shared" si="25"/>
        <v>0</v>
      </c>
      <c r="H280" s="55" t="str">
        <f t="shared" si="26"/>
        <v>[kg / kg NG]</v>
      </c>
      <c r="I280" s="255">
        <f t="shared" si="22"/>
        <v>0</v>
      </c>
      <c r="J280" s="59" t="s">
        <v>41</v>
      </c>
      <c r="K280" s="56"/>
      <c r="L280" s="53" t="s">
        <v>93</v>
      </c>
      <c r="M280" s="248" t="s">
        <v>620</v>
      </c>
      <c r="N280" s="299" t="s">
        <v>850</v>
      </c>
      <c r="O280" s="299"/>
      <c r="P280" s="299"/>
      <c r="X280" s="31"/>
      <c r="Y280" s="31"/>
    </row>
    <row r="281" spans="2:25" ht="15" x14ac:dyDescent="0.25">
      <c r="B281" s="9"/>
      <c r="C281" s="223" t="s">
        <v>537</v>
      </c>
      <c r="D281" s="45" t="s">
        <v>780</v>
      </c>
      <c r="E281" s="65">
        <v>1</v>
      </c>
      <c r="F281" s="65" t="s">
        <v>41</v>
      </c>
      <c r="G281" s="54">
        <f t="shared" si="25"/>
        <v>0</v>
      </c>
      <c r="H281" s="55" t="str">
        <f t="shared" si="26"/>
        <v>[kg / kg NG]</v>
      </c>
      <c r="I281" s="255">
        <f t="shared" si="22"/>
        <v>0</v>
      </c>
      <c r="J281" s="59" t="s">
        <v>41</v>
      </c>
      <c r="K281" s="56"/>
      <c r="L281" s="53" t="s">
        <v>93</v>
      </c>
      <c r="M281" s="248" t="s">
        <v>620</v>
      </c>
      <c r="N281" s="299" t="s">
        <v>850</v>
      </c>
      <c r="O281" s="299"/>
      <c r="P281" s="299"/>
      <c r="X281" s="31"/>
      <c r="Y281" s="31"/>
    </row>
    <row r="282" spans="2:25" ht="15" x14ac:dyDescent="0.25">
      <c r="B282" s="9"/>
      <c r="C282" s="223" t="s">
        <v>538</v>
      </c>
      <c r="D282" s="45" t="s">
        <v>781</v>
      </c>
      <c r="E282" s="65">
        <v>1</v>
      </c>
      <c r="F282" s="65" t="s">
        <v>41</v>
      </c>
      <c r="G282" s="54">
        <f t="shared" si="25"/>
        <v>0</v>
      </c>
      <c r="H282" s="55" t="str">
        <f t="shared" si="26"/>
        <v>[kg / kg NG]</v>
      </c>
      <c r="I282" s="255">
        <f t="shared" si="22"/>
        <v>0</v>
      </c>
      <c r="J282" s="59" t="s">
        <v>41</v>
      </c>
      <c r="K282" s="56"/>
      <c r="L282" s="53" t="s">
        <v>93</v>
      </c>
      <c r="M282" s="248" t="s">
        <v>620</v>
      </c>
      <c r="N282" s="299" t="s">
        <v>850</v>
      </c>
      <c r="O282" s="299"/>
      <c r="P282" s="299"/>
      <c r="X282" s="31"/>
      <c r="Y282" s="31"/>
    </row>
    <row r="283" spans="2:25" ht="15" x14ac:dyDescent="0.25">
      <c r="B283" s="9"/>
      <c r="C283" s="223" t="s">
        <v>539</v>
      </c>
      <c r="D283" s="45" t="s">
        <v>782</v>
      </c>
      <c r="E283" s="65">
        <v>1</v>
      </c>
      <c r="F283" s="65" t="s">
        <v>41</v>
      </c>
      <c r="G283" s="54">
        <f t="shared" si="25"/>
        <v>0</v>
      </c>
      <c r="H283" s="55" t="str">
        <f t="shared" si="26"/>
        <v>[kg / kg NG]</v>
      </c>
      <c r="I283" s="255">
        <f t="shared" si="22"/>
        <v>0</v>
      </c>
      <c r="J283" s="59" t="s">
        <v>41</v>
      </c>
      <c r="K283" s="56"/>
      <c r="L283" s="53" t="s">
        <v>93</v>
      </c>
      <c r="M283" s="248" t="s">
        <v>620</v>
      </c>
      <c r="N283" s="299" t="s">
        <v>850</v>
      </c>
      <c r="O283" s="299"/>
      <c r="P283" s="299"/>
      <c r="X283" s="31"/>
      <c r="Y283" s="31"/>
    </row>
    <row r="284" spans="2:25" ht="15" x14ac:dyDescent="0.25">
      <c r="B284" s="9"/>
      <c r="C284" s="223" t="s">
        <v>540</v>
      </c>
      <c r="D284" s="45" t="s">
        <v>783</v>
      </c>
      <c r="E284" s="65">
        <v>1</v>
      </c>
      <c r="F284" s="65" t="s">
        <v>41</v>
      </c>
      <c r="G284" s="54">
        <f t="shared" si="25"/>
        <v>0</v>
      </c>
      <c r="H284" s="55" t="str">
        <f t="shared" si="26"/>
        <v>[kg / kg NG]</v>
      </c>
      <c r="I284" s="255">
        <f t="shared" si="22"/>
        <v>0</v>
      </c>
      <c r="J284" s="59" t="s">
        <v>41</v>
      </c>
      <c r="K284" s="56"/>
      <c r="L284" s="53" t="s">
        <v>93</v>
      </c>
      <c r="M284" s="248" t="s">
        <v>620</v>
      </c>
      <c r="N284" s="299" t="s">
        <v>850</v>
      </c>
      <c r="O284" s="299"/>
      <c r="P284" s="299"/>
      <c r="X284" s="31"/>
      <c r="Y284" s="31"/>
    </row>
    <row r="285" spans="2:25" ht="15" x14ac:dyDescent="0.25">
      <c r="B285" s="9"/>
      <c r="C285" s="223" t="s">
        <v>541</v>
      </c>
      <c r="D285" s="45" t="s">
        <v>784</v>
      </c>
      <c r="E285" s="65">
        <v>1</v>
      </c>
      <c r="F285" s="65" t="s">
        <v>41</v>
      </c>
      <c r="G285" s="54">
        <f t="shared" si="25"/>
        <v>0</v>
      </c>
      <c r="H285" s="55" t="str">
        <f t="shared" si="26"/>
        <v>[kg / kg NG]</v>
      </c>
      <c r="I285" s="255">
        <f t="shared" si="22"/>
        <v>0</v>
      </c>
      <c r="J285" s="59" t="s">
        <v>41</v>
      </c>
      <c r="K285" s="56"/>
      <c r="L285" s="53" t="s">
        <v>93</v>
      </c>
      <c r="M285" s="248" t="s">
        <v>620</v>
      </c>
      <c r="N285" s="299" t="s">
        <v>850</v>
      </c>
      <c r="O285" s="299"/>
      <c r="P285" s="299"/>
      <c r="X285" s="31"/>
      <c r="Y285" s="31"/>
    </row>
    <row r="286" spans="2:25" ht="15" x14ac:dyDescent="0.25">
      <c r="B286" s="9"/>
      <c r="C286" s="223" t="s">
        <v>542</v>
      </c>
      <c r="D286" s="45" t="s">
        <v>785</v>
      </c>
      <c r="E286" s="65">
        <v>1</v>
      </c>
      <c r="F286" s="65" t="s">
        <v>41</v>
      </c>
      <c r="G286" s="54">
        <f t="shared" si="25"/>
        <v>0</v>
      </c>
      <c r="H286" s="55" t="str">
        <f t="shared" si="26"/>
        <v>[kg / kg NG]</v>
      </c>
      <c r="I286" s="255">
        <f t="shared" si="22"/>
        <v>0</v>
      </c>
      <c r="J286" s="59" t="s">
        <v>41</v>
      </c>
      <c r="K286" s="56"/>
      <c r="L286" s="53" t="s">
        <v>93</v>
      </c>
      <c r="M286" s="248" t="s">
        <v>620</v>
      </c>
      <c r="N286" s="299" t="s">
        <v>850</v>
      </c>
      <c r="O286" s="299"/>
      <c r="P286" s="299"/>
      <c r="X286" s="31"/>
      <c r="Y286" s="31"/>
    </row>
    <row r="287" spans="2:25" ht="15" x14ac:dyDescent="0.25">
      <c r="B287" s="9"/>
      <c r="C287" s="223" t="s">
        <v>543</v>
      </c>
      <c r="D287" s="45" t="s">
        <v>786</v>
      </c>
      <c r="E287" s="65">
        <v>1</v>
      </c>
      <c r="F287" s="65" t="s">
        <v>41</v>
      </c>
      <c r="G287" s="54">
        <f t="shared" si="25"/>
        <v>0</v>
      </c>
      <c r="H287" s="55" t="str">
        <f t="shared" si="26"/>
        <v>[kg / kg NG]</v>
      </c>
      <c r="I287" s="255">
        <f t="shared" si="22"/>
        <v>0</v>
      </c>
      <c r="J287" s="59" t="s">
        <v>41</v>
      </c>
      <c r="K287" s="56"/>
      <c r="L287" s="53" t="s">
        <v>93</v>
      </c>
      <c r="M287" s="248" t="s">
        <v>620</v>
      </c>
      <c r="N287" s="299" t="s">
        <v>850</v>
      </c>
      <c r="O287" s="299"/>
      <c r="P287" s="299"/>
      <c r="X287" s="31"/>
      <c r="Y287" s="31"/>
    </row>
    <row r="288" spans="2:25" ht="15" x14ac:dyDescent="0.25">
      <c r="B288" s="9"/>
      <c r="C288" s="223" t="s">
        <v>544</v>
      </c>
      <c r="D288" s="45" t="s">
        <v>787</v>
      </c>
      <c r="E288" s="65">
        <v>1</v>
      </c>
      <c r="F288" s="65" t="s">
        <v>41</v>
      </c>
      <c r="G288" s="54">
        <f t="shared" si="25"/>
        <v>0</v>
      </c>
      <c r="H288" s="55" t="str">
        <f t="shared" si="26"/>
        <v>[kg / kg NG]</v>
      </c>
      <c r="I288" s="255">
        <f t="shared" si="22"/>
        <v>0</v>
      </c>
      <c r="J288" s="59" t="s">
        <v>41</v>
      </c>
      <c r="K288" s="56"/>
      <c r="L288" s="53" t="s">
        <v>93</v>
      </c>
      <c r="M288" s="248" t="s">
        <v>620</v>
      </c>
      <c r="N288" s="299" t="s">
        <v>850</v>
      </c>
      <c r="O288" s="299"/>
      <c r="P288" s="299"/>
      <c r="X288" s="31"/>
      <c r="Y288" s="31"/>
    </row>
    <row r="289" spans="2:25" ht="15" x14ac:dyDescent="0.25">
      <c r="B289" s="9"/>
      <c r="C289" s="223" t="s">
        <v>545</v>
      </c>
      <c r="D289" s="45" t="s">
        <v>788</v>
      </c>
      <c r="E289" s="65">
        <v>1</v>
      </c>
      <c r="F289" s="65" t="s">
        <v>41</v>
      </c>
      <c r="G289" s="54">
        <f t="shared" si="25"/>
        <v>0</v>
      </c>
      <c r="H289" s="55" t="str">
        <f t="shared" si="26"/>
        <v>[kg / kg NG]</v>
      </c>
      <c r="I289" s="255">
        <f t="shared" si="22"/>
        <v>0</v>
      </c>
      <c r="J289" s="59" t="s">
        <v>41</v>
      </c>
      <c r="K289" s="56"/>
      <c r="L289" s="53" t="s">
        <v>93</v>
      </c>
      <c r="M289" s="248" t="s">
        <v>620</v>
      </c>
      <c r="N289" s="299" t="s">
        <v>850</v>
      </c>
      <c r="O289" s="299"/>
      <c r="P289" s="299"/>
      <c r="X289" s="31"/>
      <c r="Y289" s="31"/>
    </row>
    <row r="290" spans="2:25" ht="15" x14ac:dyDescent="0.25">
      <c r="B290" s="9"/>
      <c r="C290" s="223" t="s">
        <v>546</v>
      </c>
      <c r="D290" s="45" t="s">
        <v>789</v>
      </c>
      <c r="E290" s="65">
        <v>1</v>
      </c>
      <c r="F290" s="65" t="s">
        <v>41</v>
      </c>
      <c r="G290" s="54">
        <f t="shared" si="25"/>
        <v>0</v>
      </c>
      <c r="H290" s="55" t="str">
        <f t="shared" si="26"/>
        <v>[kg / kg NG]</v>
      </c>
      <c r="I290" s="255">
        <f t="shared" si="22"/>
        <v>0</v>
      </c>
      <c r="J290" s="59" t="s">
        <v>41</v>
      </c>
      <c r="K290" s="56"/>
      <c r="L290" s="53" t="s">
        <v>93</v>
      </c>
      <c r="M290" s="248" t="s">
        <v>620</v>
      </c>
      <c r="N290" s="299" t="s">
        <v>850</v>
      </c>
      <c r="O290" s="299"/>
      <c r="P290" s="299"/>
      <c r="X290" s="31"/>
      <c r="Y290" s="31"/>
    </row>
    <row r="291" spans="2:25" ht="15" x14ac:dyDescent="0.25">
      <c r="B291" s="9"/>
      <c r="C291" s="223" t="s">
        <v>547</v>
      </c>
      <c r="D291" s="45" t="s">
        <v>790</v>
      </c>
      <c r="E291" s="65">
        <v>1</v>
      </c>
      <c r="F291" s="65" t="s">
        <v>41</v>
      </c>
      <c r="G291" s="54">
        <f t="shared" si="25"/>
        <v>0</v>
      </c>
      <c r="H291" s="55" t="str">
        <f t="shared" si="26"/>
        <v>[kg / kg NG]</v>
      </c>
      <c r="I291" s="255">
        <f t="shared" si="22"/>
        <v>0</v>
      </c>
      <c r="J291" s="59" t="s">
        <v>41</v>
      </c>
      <c r="K291" s="56"/>
      <c r="L291" s="53" t="s">
        <v>93</v>
      </c>
      <c r="M291" s="248" t="s">
        <v>620</v>
      </c>
      <c r="N291" s="299" t="s">
        <v>850</v>
      </c>
      <c r="O291" s="299"/>
      <c r="P291" s="299"/>
      <c r="X291" s="31"/>
      <c r="Y291" s="31"/>
    </row>
    <row r="292" spans="2:25" ht="15" x14ac:dyDescent="0.25">
      <c r="B292" s="9"/>
      <c r="C292" s="224" t="s">
        <v>548</v>
      </c>
      <c r="D292" s="45" t="s">
        <v>791</v>
      </c>
      <c r="E292" s="65">
        <v>1</v>
      </c>
      <c r="F292" s="65" t="s">
        <v>41</v>
      </c>
      <c r="G292" s="54">
        <f t="shared" si="25"/>
        <v>0</v>
      </c>
      <c r="H292" s="55" t="str">
        <f t="shared" si="26"/>
        <v>[kg / kg NG]</v>
      </c>
      <c r="I292" s="255">
        <f t="shared" si="22"/>
        <v>0</v>
      </c>
      <c r="J292" s="59" t="s">
        <v>41</v>
      </c>
      <c r="K292" s="56"/>
      <c r="L292" s="53" t="s">
        <v>93</v>
      </c>
      <c r="M292" s="248" t="s">
        <v>620</v>
      </c>
      <c r="N292" s="299" t="s">
        <v>850</v>
      </c>
      <c r="O292" s="299"/>
      <c r="P292" s="299"/>
      <c r="X292" s="31"/>
      <c r="Y292" s="31"/>
    </row>
    <row r="293" spans="2:25" ht="15" x14ac:dyDescent="0.25">
      <c r="B293" s="9"/>
      <c r="C293" s="224" t="s">
        <v>549</v>
      </c>
      <c r="D293" s="45" t="s">
        <v>792</v>
      </c>
      <c r="E293" s="65">
        <v>1</v>
      </c>
      <c r="F293" s="65" t="s">
        <v>41</v>
      </c>
      <c r="G293" s="54">
        <f t="shared" si="25"/>
        <v>0</v>
      </c>
      <c r="H293" s="55" t="str">
        <f t="shared" si="26"/>
        <v>[kg / kg NG]</v>
      </c>
      <c r="I293" s="255">
        <f>IF(D293="","",E293*G293*$D$5)</f>
        <v>0</v>
      </c>
      <c r="J293" s="59" t="s">
        <v>41</v>
      </c>
      <c r="K293" s="56"/>
      <c r="L293" s="53" t="s">
        <v>93</v>
      </c>
      <c r="M293" s="248" t="s">
        <v>620</v>
      </c>
      <c r="N293" s="299" t="s">
        <v>850</v>
      </c>
      <c r="O293" s="299"/>
      <c r="P293" s="299"/>
      <c r="X293" s="31"/>
      <c r="Y293" s="31"/>
    </row>
    <row r="294" spans="2:25" ht="15" x14ac:dyDescent="0.25">
      <c r="B294" s="9"/>
      <c r="C294" s="224" t="s">
        <v>550</v>
      </c>
      <c r="D294" s="45" t="s">
        <v>793</v>
      </c>
      <c r="E294" s="65">
        <v>1</v>
      </c>
      <c r="F294" s="65" t="s">
        <v>41</v>
      </c>
      <c r="G294" s="54">
        <f t="shared" si="25"/>
        <v>0</v>
      </c>
      <c r="H294" s="55" t="str">
        <f t="shared" si="26"/>
        <v>[kg / kg NG]</v>
      </c>
      <c r="I294" s="255">
        <f>IF(D294="","",E294*G294*$D$5)</f>
        <v>0</v>
      </c>
      <c r="J294" s="59" t="s">
        <v>41</v>
      </c>
      <c r="K294" s="56"/>
      <c r="L294" s="53" t="s">
        <v>93</v>
      </c>
      <c r="M294" s="248" t="s">
        <v>620</v>
      </c>
      <c r="N294" s="299" t="s">
        <v>850</v>
      </c>
      <c r="O294" s="299"/>
      <c r="P294" s="299"/>
      <c r="X294" s="31"/>
      <c r="Y294" s="31"/>
    </row>
    <row r="295" spans="2:25" ht="15" x14ac:dyDescent="0.25">
      <c r="B295" s="9"/>
      <c r="C295" s="223" t="s">
        <v>551</v>
      </c>
      <c r="D295" s="45" t="s">
        <v>794</v>
      </c>
      <c r="E295" s="65">
        <v>1</v>
      </c>
      <c r="F295" s="65" t="s">
        <v>41</v>
      </c>
      <c r="G295" s="54">
        <f t="shared" si="25"/>
        <v>1.7799737082431989E-7</v>
      </c>
      <c r="H295" s="55" t="str">
        <f t="shared" si="26"/>
        <v>[kg / kg NG]</v>
      </c>
      <c r="I295" s="255">
        <f t="shared" ref="I295:I347" si="27">IF(D295="","",E295*G295*$D$5)</f>
        <v>1.7799737082431989E-7</v>
      </c>
      <c r="J295" s="59" t="s">
        <v>41</v>
      </c>
      <c r="K295" s="56"/>
      <c r="L295" s="53" t="s">
        <v>93</v>
      </c>
      <c r="M295" s="248" t="s">
        <v>620</v>
      </c>
      <c r="N295" s="256" t="s">
        <v>851</v>
      </c>
      <c r="O295" s="251"/>
      <c r="P295" s="251"/>
      <c r="X295" s="31"/>
      <c r="Y295" s="31"/>
    </row>
    <row r="296" spans="2:25" ht="15" x14ac:dyDescent="0.25">
      <c r="B296" s="9"/>
      <c r="C296" s="223" t="s">
        <v>552</v>
      </c>
      <c r="D296" s="45" t="s">
        <v>795</v>
      </c>
      <c r="E296" s="65">
        <v>1</v>
      </c>
      <c r="F296" s="65" t="s">
        <v>41</v>
      </c>
      <c r="G296" s="54">
        <f t="shared" si="25"/>
        <v>0</v>
      </c>
      <c r="H296" s="55" t="str">
        <f t="shared" si="26"/>
        <v>[kg / kg NG]</v>
      </c>
      <c r="I296" s="255">
        <f t="shared" si="27"/>
        <v>0</v>
      </c>
      <c r="J296" s="59" t="s">
        <v>41</v>
      </c>
      <c r="K296" s="56"/>
      <c r="L296" s="53" t="s">
        <v>93</v>
      </c>
      <c r="M296" s="248" t="s">
        <v>620</v>
      </c>
      <c r="N296" s="256" t="s">
        <v>851</v>
      </c>
      <c r="O296" s="256"/>
      <c r="P296" s="256"/>
      <c r="X296" s="31"/>
      <c r="Y296" s="31"/>
    </row>
    <row r="297" spans="2:25" ht="15" x14ac:dyDescent="0.25">
      <c r="B297" s="9"/>
      <c r="C297" s="223" t="s">
        <v>553</v>
      </c>
      <c r="D297" s="45" t="s">
        <v>796</v>
      </c>
      <c r="E297" s="65">
        <v>1</v>
      </c>
      <c r="F297" s="65" t="s">
        <v>41</v>
      </c>
      <c r="G297" s="54">
        <f t="shared" si="25"/>
        <v>0</v>
      </c>
      <c r="H297" s="55" t="str">
        <f t="shared" si="26"/>
        <v>[kg / kg NG]</v>
      </c>
      <c r="I297" s="255">
        <f t="shared" si="27"/>
        <v>0</v>
      </c>
      <c r="J297" s="59" t="s">
        <v>41</v>
      </c>
      <c r="K297" s="56"/>
      <c r="L297" s="53" t="s">
        <v>93</v>
      </c>
      <c r="M297" s="248" t="s">
        <v>620</v>
      </c>
      <c r="N297" s="256" t="s">
        <v>851</v>
      </c>
      <c r="O297" s="256"/>
      <c r="P297" s="256"/>
      <c r="X297" s="31"/>
      <c r="Y297" s="31"/>
    </row>
    <row r="298" spans="2:25" ht="15" x14ac:dyDescent="0.25">
      <c r="B298" s="9"/>
      <c r="C298" s="223" t="s">
        <v>554</v>
      </c>
      <c r="D298" s="45" t="s">
        <v>797</v>
      </c>
      <c r="E298" s="65">
        <v>1</v>
      </c>
      <c r="F298" s="65" t="s">
        <v>41</v>
      </c>
      <c r="G298" s="54">
        <f t="shared" si="25"/>
        <v>0</v>
      </c>
      <c r="H298" s="55" t="str">
        <f t="shared" si="26"/>
        <v>[kg / kg NG]</v>
      </c>
      <c r="I298" s="255">
        <f t="shared" si="27"/>
        <v>0</v>
      </c>
      <c r="J298" s="59" t="s">
        <v>41</v>
      </c>
      <c r="K298" s="56"/>
      <c r="L298" s="53" t="s">
        <v>93</v>
      </c>
      <c r="M298" s="248" t="s">
        <v>620</v>
      </c>
      <c r="N298" s="256" t="s">
        <v>851</v>
      </c>
      <c r="O298" s="256"/>
      <c r="P298" s="256"/>
      <c r="X298" s="31"/>
      <c r="Y298" s="31"/>
    </row>
    <row r="299" spans="2:25" ht="15" x14ac:dyDescent="0.25">
      <c r="B299" s="9"/>
      <c r="C299" s="223" t="s">
        <v>555</v>
      </c>
      <c r="D299" s="45" t="s">
        <v>798</v>
      </c>
      <c r="E299" s="65">
        <v>1</v>
      </c>
      <c r="F299" s="65" t="s">
        <v>41</v>
      </c>
      <c r="G299" s="54">
        <f t="shared" si="25"/>
        <v>0</v>
      </c>
      <c r="H299" s="55" t="str">
        <f t="shared" si="26"/>
        <v>[kg / kg NG]</v>
      </c>
      <c r="I299" s="255">
        <f t="shared" si="27"/>
        <v>0</v>
      </c>
      <c r="J299" s="59" t="s">
        <v>41</v>
      </c>
      <c r="K299" s="56"/>
      <c r="L299" s="53" t="s">
        <v>93</v>
      </c>
      <c r="M299" s="248" t="s">
        <v>620</v>
      </c>
      <c r="N299" s="256" t="s">
        <v>851</v>
      </c>
      <c r="O299" s="256"/>
      <c r="P299" s="256"/>
      <c r="X299" s="31"/>
      <c r="Y299" s="31"/>
    </row>
    <row r="300" spans="2:25" ht="15" x14ac:dyDescent="0.25">
      <c r="B300" s="9"/>
      <c r="C300" s="223" t="s">
        <v>556</v>
      </c>
      <c r="D300" s="45" t="s">
        <v>799</v>
      </c>
      <c r="E300" s="65">
        <v>1</v>
      </c>
      <c r="F300" s="65" t="s">
        <v>41</v>
      </c>
      <c r="G300" s="54">
        <f t="shared" si="25"/>
        <v>0</v>
      </c>
      <c r="H300" s="55" t="str">
        <f t="shared" si="26"/>
        <v>[kg / kg NG]</v>
      </c>
      <c r="I300" s="255">
        <f t="shared" si="27"/>
        <v>0</v>
      </c>
      <c r="J300" s="59" t="s">
        <v>41</v>
      </c>
      <c r="K300" s="56"/>
      <c r="L300" s="53" t="s">
        <v>93</v>
      </c>
      <c r="M300" s="248" t="s">
        <v>620</v>
      </c>
      <c r="N300" s="256" t="s">
        <v>851</v>
      </c>
      <c r="O300" s="256"/>
      <c r="P300" s="256"/>
      <c r="X300" s="31"/>
      <c r="Y300" s="31"/>
    </row>
    <row r="301" spans="2:25" ht="15" x14ac:dyDescent="0.25">
      <c r="B301" s="9"/>
      <c r="C301" s="223" t="s">
        <v>557</v>
      </c>
      <c r="D301" s="45" t="s">
        <v>800</v>
      </c>
      <c r="E301" s="65">
        <v>1</v>
      </c>
      <c r="F301" s="65" t="s">
        <v>41</v>
      </c>
      <c r="G301" s="54">
        <f t="shared" si="25"/>
        <v>0</v>
      </c>
      <c r="H301" s="55" t="str">
        <f t="shared" si="26"/>
        <v>[kg / kg NG]</v>
      </c>
      <c r="I301" s="255">
        <f t="shared" si="27"/>
        <v>0</v>
      </c>
      <c r="J301" s="59" t="s">
        <v>41</v>
      </c>
      <c r="K301" s="56"/>
      <c r="L301" s="53" t="s">
        <v>93</v>
      </c>
      <c r="M301" s="248" t="s">
        <v>620</v>
      </c>
      <c r="N301" s="256" t="s">
        <v>851</v>
      </c>
      <c r="O301" s="256"/>
      <c r="P301" s="256"/>
      <c r="X301" s="31"/>
      <c r="Y301" s="31"/>
    </row>
    <row r="302" spans="2:25" ht="15" x14ac:dyDescent="0.25">
      <c r="B302" s="9"/>
      <c r="C302" s="223" t="s">
        <v>558</v>
      </c>
      <c r="D302" s="45" t="s">
        <v>801</v>
      </c>
      <c r="E302" s="65">
        <v>1</v>
      </c>
      <c r="F302" s="65" t="s">
        <v>41</v>
      </c>
      <c r="G302" s="54">
        <f t="shared" si="25"/>
        <v>0</v>
      </c>
      <c r="H302" s="55" t="str">
        <f t="shared" si="26"/>
        <v>[kg / kg NG]</v>
      </c>
      <c r="I302" s="255">
        <f t="shared" si="27"/>
        <v>0</v>
      </c>
      <c r="J302" s="59" t="s">
        <v>41</v>
      </c>
      <c r="K302" s="56"/>
      <c r="L302" s="53" t="s">
        <v>93</v>
      </c>
      <c r="M302" s="248" t="s">
        <v>620</v>
      </c>
      <c r="N302" s="256" t="s">
        <v>851</v>
      </c>
      <c r="O302" s="256"/>
      <c r="P302" s="256"/>
      <c r="X302" s="31"/>
      <c r="Y302" s="31"/>
    </row>
    <row r="303" spans="2:25" ht="15" x14ac:dyDescent="0.25">
      <c r="B303" s="9"/>
      <c r="C303" s="223" t="s">
        <v>559</v>
      </c>
      <c r="D303" s="45" t="s">
        <v>802</v>
      </c>
      <c r="E303" s="65">
        <v>1</v>
      </c>
      <c r="F303" s="65" t="s">
        <v>41</v>
      </c>
      <c r="G303" s="54">
        <f t="shared" si="25"/>
        <v>0</v>
      </c>
      <c r="H303" s="55" t="str">
        <f t="shared" si="26"/>
        <v>[kg / kg NG]</v>
      </c>
      <c r="I303" s="255">
        <f t="shared" si="27"/>
        <v>0</v>
      </c>
      <c r="J303" s="59" t="s">
        <v>41</v>
      </c>
      <c r="K303" s="56"/>
      <c r="L303" s="53" t="s">
        <v>93</v>
      </c>
      <c r="M303" s="248" t="s">
        <v>620</v>
      </c>
      <c r="N303" s="256" t="s">
        <v>851</v>
      </c>
      <c r="O303" s="256"/>
      <c r="P303" s="256"/>
      <c r="X303" s="31"/>
      <c r="Y303" s="31"/>
    </row>
    <row r="304" spans="2:25" ht="15" x14ac:dyDescent="0.25">
      <c r="B304" s="9"/>
      <c r="C304" s="223" t="s">
        <v>560</v>
      </c>
      <c r="D304" s="45" t="s">
        <v>803</v>
      </c>
      <c r="E304" s="65">
        <v>1</v>
      </c>
      <c r="F304" s="65" t="s">
        <v>41</v>
      </c>
      <c r="G304" s="54">
        <f t="shared" si="25"/>
        <v>5.6904950468776271E-9</v>
      </c>
      <c r="H304" s="55" t="str">
        <f t="shared" si="26"/>
        <v>[kg / kg NG]</v>
      </c>
      <c r="I304" s="255">
        <f t="shared" si="27"/>
        <v>5.6904950468776271E-9</v>
      </c>
      <c r="J304" s="59" t="s">
        <v>41</v>
      </c>
      <c r="K304" s="56"/>
      <c r="L304" s="53" t="s">
        <v>93</v>
      </c>
      <c r="M304" s="248" t="s">
        <v>620</v>
      </c>
      <c r="N304" s="256" t="s">
        <v>851</v>
      </c>
      <c r="O304" s="256"/>
      <c r="P304" s="256"/>
      <c r="X304" s="31"/>
      <c r="Y304" s="31"/>
    </row>
    <row r="305" spans="2:25" ht="15" x14ac:dyDescent="0.25">
      <c r="B305" s="9"/>
      <c r="C305" s="223" t="s">
        <v>561</v>
      </c>
      <c r="D305" s="45" t="s">
        <v>804</v>
      </c>
      <c r="E305" s="65">
        <v>1</v>
      </c>
      <c r="F305" s="65" t="s">
        <v>41</v>
      </c>
      <c r="G305" s="54">
        <f t="shared" si="25"/>
        <v>0</v>
      </c>
      <c r="H305" s="55" t="str">
        <f t="shared" si="26"/>
        <v>[kg / kg NG]</v>
      </c>
      <c r="I305" s="255">
        <f t="shared" si="27"/>
        <v>0</v>
      </c>
      <c r="J305" s="59" t="s">
        <v>41</v>
      </c>
      <c r="K305" s="56"/>
      <c r="L305" s="53" t="s">
        <v>93</v>
      </c>
      <c r="M305" s="248" t="s">
        <v>620</v>
      </c>
      <c r="N305" s="256" t="s">
        <v>851</v>
      </c>
      <c r="O305" s="256"/>
      <c r="P305" s="256"/>
      <c r="X305" s="31"/>
      <c r="Y305" s="31"/>
    </row>
    <row r="306" spans="2:25" ht="15" x14ac:dyDescent="0.25">
      <c r="B306" s="9"/>
      <c r="C306" s="223" t="s">
        <v>562</v>
      </c>
      <c r="D306" s="45" t="s">
        <v>805</v>
      </c>
      <c r="E306" s="65">
        <v>1</v>
      </c>
      <c r="F306" s="65" t="s">
        <v>41</v>
      </c>
      <c r="G306" s="54">
        <f t="shared" si="25"/>
        <v>9.7309865060507272E-8</v>
      </c>
      <c r="H306" s="55" t="str">
        <f t="shared" si="26"/>
        <v>[kg / kg NG]</v>
      </c>
      <c r="I306" s="255">
        <f t="shared" si="27"/>
        <v>9.7309865060507272E-8</v>
      </c>
      <c r="J306" s="59" t="s">
        <v>41</v>
      </c>
      <c r="K306" s="56"/>
      <c r="L306" s="53" t="s">
        <v>93</v>
      </c>
      <c r="M306" s="248" t="s">
        <v>620</v>
      </c>
      <c r="N306" s="256" t="s">
        <v>851</v>
      </c>
      <c r="O306" s="256"/>
      <c r="P306" s="256"/>
      <c r="X306" s="31"/>
      <c r="Y306" s="31"/>
    </row>
    <row r="307" spans="2:25" ht="15" x14ac:dyDescent="0.25">
      <c r="B307" s="9"/>
      <c r="C307" s="223" t="s">
        <v>563</v>
      </c>
      <c r="D307" s="45" t="s">
        <v>806</v>
      </c>
      <c r="E307" s="65">
        <v>1</v>
      </c>
      <c r="F307" s="65" t="s">
        <v>41</v>
      </c>
      <c r="G307" s="54">
        <f t="shared" si="25"/>
        <v>0</v>
      </c>
      <c r="H307" s="55" t="str">
        <f t="shared" si="26"/>
        <v>[kg / kg NG]</v>
      </c>
      <c r="I307" s="255">
        <f t="shared" si="27"/>
        <v>0</v>
      </c>
      <c r="J307" s="59" t="s">
        <v>41</v>
      </c>
      <c r="K307" s="56"/>
      <c r="L307" s="53" t="s">
        <v>93</v>
      </c>
      <c r="M307" s="248" t="s">
        <v>620</v>
      </c>
      <c r="N307" s="256" t="s">
        <v>851</v>
      </c>
      <c r="O307" s="256"/>
      <c r="P307" s="256"/>
      <c r="X307" s="31"/>
      <c r="Y307" s="31"/>
    </row>
    <row r="308" spans="2:25" ht="15" x14ac:dyDescent="0.25">
      <c r="B308" s="9"/>
      <c r="C308" s="223" t="s">
        <v>564</v>
      </c>
      <c r="D308" s="45" t="s">
        <v>807</v>
      </c>
      <c r="E308" s="65">
        <v>1</v>
      </c>
      <c r="F308" s="65" t="s">
        <v>41</v>
      </c>
      <c r="G308" s="54">
        <f t="shared" si="25"/>
        <v>0</v>
      </c>
      <c r="H308" s="55" t="str">
        <f t="shared" si="26"/>
        <v>[kg / kg NG]</v>
      </c>
      <c r="I308" s="255">
        <f t="shared" si="27"/>
        <v>0</v>
      </c>
      <c r="J308" s="59" t="s">
        <v>41</v>
      </c>
      <c r="K308" s="56"/>
      <c r="L308" s="53" t="s">
        <v>93</v>
      </c>
      <c r="M308" s="248" t="s">
        <v>620</v>
      </c>
      <c r="N308" s="256" t="s">
        <v>851</v>
      </c>
      <c r="O308" s="256"/>
      <c r="P308" s="256"/>
      <c r="X308" s="31"/>
      <c r="Y308" s="31"/>
    </row>
    <row r="309" spans="2:25" ht="15" x14ac:dyDescent="0.25">
      <c r="B309" s="9"/>
      <c r="C309" s="223" t="s">
        <v>565</v>
      </c>
      <c r="D309" s="45" t="s">
        <v>808</v>
      </c>
      <c r="E309" s="65">
        <v>1</v>
      </c>
      <c r="F309" s="65" t="s">
        <v>41</v>
      </c>
      <c r="G309" s="54">
        <f t="shared" si="25"/>
        <v>0</v>
      </c>
      <c r="H309" s="55" t="str">
        <f t="shared" si="26"/>
        <v>[kg / kg NG]</v>
      </c>
      <c r="I309" s="255">
        <f t="shared" si="27"/>
        <v>0</v>
      </c>
      <c r="J309" s="59" t="s">
        <v>41</v>
      </c>
      <c r="K309" s="56"/>
      <c r="L309" s="53" t="s">
        <v>93</v>
      </c>
      <c r="M309" s="248" t="s">
        <v>620</v>
      </c>
      <c r="N309" s="256" t="s">
        <v>851</v>
      </c>
      <c r="O309" s="256"/>
      <c r="P309" s="256"/>
      <c r="X309" s="31"/>
      <c r="Y309" s="31"/>
    </row>
    <row r="310" spans="2:25" ht="15" x14ac:dyDescent="0.25">
      <c r="B310" s="9"/>
      <c r="C310" s="223" t="s">
        <v>566</v>
      </c>
      <c r="D310" s="45" t="s">
        <v>809</v>
      </c>
      <c r="E310" s="65">
        <v>1</v>
      </c>
      <c r="F310" s="65" t="s">
        <v>41</v>
      </c>
      <c r="G310" s="54">
        <f t="shared" si="25"/>
        <v>0</v>
      </c>
      <c r="H310" s="55" t="str">
        <f t="shared" si="26"/>
        <v>[kg / kg NG]</v>
      </c>
      <c r="I310" s="255">
        <f t="shared" si="27"/>
        <v>0</v>
      </c>
      <c r="J310" s="59" t="s">
        <v>41</v>
      </c>
      <c r="K310" s="56"/>
      <c r="L310" s="53" t="s">
        <v>93</v>
      </c>
      <c r="M310" s="248" t="s">
        <v>620</v>
      </c>
      <c r="N310" s="256" t="s">
        <v>851</v>
      </c>
      <c r="O310" s="256"/>
      <c r="P310" s="256"/>
      <c r="X310" s="31"/>
      <c r="Y310" s="31"/>
    </row>
    <row r="311" spans="2:25" ht="15" x14ac:dyDescent="0.25">
      <c r="B311" s="9"/>
      <c r="C311" s="223" t="s">
        <v>567</v>
      </c>
      <c r="D311" s="45" t="s">
        <v>810</v>
      </c>
      <c r="E311" s="65">
        <v>1</v>
      </c>
      <c r="F311" s="65" t="s">
        <v>41</v>
      </c>
      <c r="G311" s="54">
        <f t="shared" si="25"/>
        <v>0</v>
      </c>
      <c r="H311" s="55" t="str">
        <f t="shared" si="26"/>
        <v>[kg / kg NG]</v>
      </c>
      <c r="I311" s="255">
        <f t="shared" si="27"/>
        <v>0</v>
      </c>
      <c r="J311" s="59" t="s">
        <v>41</v>
      </c>
      <c r="K311" s="56"/>
      <c r="L311" s="53" t="s">
        <v>93</v>
      </c>
      <c r="M311" s="248" t="s">
        <v>620</v>
      </c>
      <c r="N311" s="256" t="s">
        <v>851</v>
      </c>
      <c r="O311" s="256"/>
      <c r="P311" s="256"/>
      <c r="X311" s="31"/>
      <c r="Y311" s="31"/>
    </row>
    <row r="312" spans="2:25" ht="15" x14ac:dyDescent="0.25">
      <c r="B312" s="9"/>
      <c r="C312" s="224" t="s">
        <v>568</v>
      </c>
      <c r="D312" s="45" t="s">
        <v>811</v>
      </c>
      <c r="E312" s="65">
        <v>1</v>
      </c>
      <c r="F312" s="65" t="s">
        <v>41</v>
      </c>
      <c r="G312" s="54">
        <f t="shared" si="25"/>
        <v>7.4227927394803841E-9</v>
      </c>
      <c r="H312" s="55" t="str">
        <f t="shared" si="26"/>
        <v>[kg / kg NG]</v>
      </c>
      <c r="I312" s="255">
        <f t="shared" si="27"/>
        <v>7.4227927394803841E-9</v>
      </c>
      <c r="J312" s="59" t="s">
        <v>41</v>
      </c>
      <c r="K312" s="56"/>
      <c r="L312" s="53" t="s">
        <v>93</v>
      </c>
      <c r="M312" s="248" t="s">
        <v>620</v>
      </c>
      <c r="N312" s="256" t="s">
        <v>851</v>
      </c>
      <c r="O312" s="256"/>
      <c r="P312" s="256"/>
      <c r="X312" s="31"/>
      <c r="Y312" s="31"/>
    </row>
    <row r="313" spans="2:25" ht="15" x14ac:dyDescent="0.25">
      <c r="B313" s="9"/>
      <c r="C313" s="223" t="s">
        <v>569</v>
      </c>
      <c r="D313" s="45" t="s">
        <v>812</v>
      </c>
      <c r="E313" s="65">
        <v>1</v>
      </c>
      <c r="F313" s="65" t="s">
        <v>41</v>
      </c>
      <c r="G313" s="54">
        <f t="shared" si="25"/>
        <v>0</v>
      </c>
      <c r="H313" s="55" t="str">
        <f t="shared" si="26"/>
        <v>[kg / kg NG]</v>
      </c>
      <c r="I313" s="255">
        <f t="shared" si="27"/>
        <v>0</v>
      </c>
      <c r="J313" s="59" t="s">
        <v>41</v>
      </c>
      <c r="K313" s="56"/>
      <c r="L313" s="53" t="s">
        <v>93</v>
      </c>
      <c r="M313" s="248" t="s">
        <v>620</v>
      </c>
      <c r="N313" s="256" t="s">
        <v>851</v>
      </c>
      <c r="O313" s="256"/>
      <c r="P313" s="256"/>
      <c r="X313" s="31"/>
      <c r="Y313" s="31"/>
    </row>
    <row r="314" spans="2:25" ht="15" x14ac:dyDescent="0.25">
      <c r="B314" s="9"/>
      <c r="C314" s="224" t="s">
        <v>570</v>
      </c>
      <c r="D314" s="45" t="s">
        <v>813</v>
      </c>
      <c r="E314" s="65">
        <v>1</v>
      </c>
      <c r="F314" s="65" t="s">
        <v>41</v>
      </c>
      <c r="G314" s="54">
        <f t="shared" si="25"/>
        <v>0</v>
      </c>
      <c r="H314" s="55" t="str">
        <f t="shared" si="26"/>
        <v>[kg / kg NG]</v>
      </c>
      <c r="I314" s="255">
        <f t="shared" si="27"/>
        <v>0</v>
      </c>
      <c r="J314" s="59" t="s">
        <v>41</v>
      </c>
      <c r="K314" s="56"/>
      <c r="L314" s="53" t="s">
        <v>93</v>
      </c>
      <c r="M314" s="248" t="s">
        <v>620</v>
      </c>
      <c r="N314" s="256" t="s">
        <v>851</v>
      </c>
      <c r="O314" s="256"/>
      <c r="P314" s="256"/>
      <c r="X314" s="31"/>
      <c r="Y314" s="31"/>
    </row>
    <row r="315" spans="2:25" ht="15" x14ac:dyDescent="0.25">
      <c r="B315" s="9"/>
      <c r="C315" s="223" t="s">
        <v>571</v>
      </c>
      <c r="D315" s="45" t="s">
        <v>814</v>
      </c>
      <c r="E315" s="65">
        <v>1</v>
      </c>
      <c r="F315" s="65" t="s">
        <v>41</v>
      </c>
      <c r="G315" s="54">
        <f t="shared" si="25"/>
        <v>3.8548051070244404E-9</v>
      </c>
      <c r="H315" s="55" t="str">
        <f t="shared" si="26"/>
        <v>[kg / kg NG]</v>
      </c>
      <c r="I315" s="255">
        <f t="shared" si="27"/>
        <v>3.8548051070244404E-9</v>
      </c>
      <c r="J315" s="59" t="s">
        <v>41</v>
      </c>
      <c r="K315" s="56"/>
      <c r="L315" s="53" t="s">
        <v>93</v>
      </c>
      <c r="M315" s="248" t="s">
        <v>620</v>
      </c>
      <c r="N315" s="256" t="s">
        <v>851</v>
      </c>
      <c r="O315" s="256"/>
      <c r="P315" s="256"/>
      <c r="X315" s="31"/>
      <c r="Y315" s="31"/>
    </row>
    <row r="316" spans="2:25" ht="15" x14ac:dyDescent="0.25">
      <c r="B316" s="9"/>
      <c r="C316" s="223" t="s">
        <v>572</v>
      </c>
      <c r="D316" s="45" t="s">
        <v>815</v>
      </c>
      <c r="E316" s="65">
        <v>1</v>
      </c>
      <c r="F316" s="65" t="s">
        <v>41</v>
      </c>
      <c r="G316" s="54">
        <f t="shared" si="25"/>
        <v>0</v>
      </c>
      <c r="H316" s="55" t="str">
        <f t="shared" si="26"/>
        <v>[kg / kg NG]</v>
      </c>
      <c r="I316" s="255">
        <f t="shared" si="27"/>
        <v>0</v>
      </c>
      <c r="J316" s="59" t="s">
        <v>41</v>
      </c>
      <c r="K316" s="56"/>
      <c r="L316" s="53" t="s">
        <v>93</v>
      </c>
      <c r="M316" s="248" t="s">
        <v>620</v>
      </c>
      <c r="N316" s="256" t="s">
        <v>851</v>
      </c>
      <c r="O316" s="256"/>
      <c r="P316" s="256"/>
      <c r="X316" s="31"/>
      <c r="Y316" s="31"/>
    </row>
    <row r="317" spans="2:25" ht="15" x14ac:dyDescent="0.25">
      <c r="B317" s="9"/>
      <c r="C317" s="223" t="s">
        <v>573</v>
      </c>
      <c r="D317" s="45" t="s">
        <v>816</v>
      </c>
      <c r="E317" s="65">
        <v>1</v>
      </c>
      <c r="F317" s="65" t="s">
        <v>41</v>
      </c>
      <c r="G317" s="54">
        <f t="shared" si="25"/>
        <v>1.2934455309342201E-9</v>
      </c>
      <c r="H317" s="55" t="str">
        <f t="shared" si="26"/>
        <v>[kg / kg NG]</v>
      </c>
      <c r="I317" s="255">
        <f t="shared" si="27"/>
        <v>1.2934455309342201E-9</v>
      </c>
      <c r="J317" s="59" t="s">
        <v>41</v>
      </c>
      <c r="K317" s="56"/>
      <c r="L317" s="53" t="s">
        <v>93</v>
      </c>
      <c r="M317" s="248" t="s">
        <v>620</v>
      </c>
      <c r="N317" s="256" t="s">
        <v>851</v>
      </c>
      <c r="O317" s="256"/>
      <c r="P317" s="256"/>
      <c r="X317" s="31"/>
      <c r="Y317" s="31"/>
    </row>
    <row r="318" spans="2:25" ht="15" x14ac:dyDescent="0.25">
      <c r="B318" s="9"/>
      <c r="C318" s="223" t="s">
        <v>574</v>
      </c>
      <c r="D318" s="45" t="s">
        <v>817</v>
      </c>
      <c r="E318" s="65">
        <v>1</v>
      </c>
      <c r="F318" s="65" t="s">
        <v>41</v>
      </c>
      <c r="G318" s="54">
        <f t="shared" si="25"/>
        <v>0</v>
      </c>
      <c r="H318" s="55" t="str">
        <f t="shared" si="26"/>
        <v>[kg / kg NG]</v>
      </c>
      <c r="I318" s="255">
        <f t="shared" si="27"/>
        <v>0</v>
      </c>
      <c r="J318" s="59" t="s">
        <v>41</v>
      </c>
      <c r="K318" s="56"/>
      <c r="L318" s="53" t="s">
        <v>93</v>
      </c>
      <c r="M318" s="248" t="s">
        <v>620</v>
      </c>
      <c r="N318" s="256" t="s">
        <v>851</v>
      </c>
      <c r="O318" s="256"/>
      <c r="P318" s="256"/>
      <c r="X318" s="31"/>
      <c r="Y318" s="31"/>
    </row>
    <row r="319" spans="2:25" ht="15" x14ac:dyDescent="0.25">
      <c r="B319" s="9"/>
      <c r="C319" s="223" t="s">
        <v>575</v>
      </c>
      <c r="D319" s="45" t="s">
        <v>818</v>
      </c>
      <c r="E319" s="65">
        <v>1</v>
      </c>
      <c r="F319" s="65" t="s">
        <v>41</v>
      </c>
      <c r="G319" s="54">
        <f t="shared" si="25"/>
        <v>0</v>
      </c>
      <c r="H319" s="55" t="str">
        <f t="shared" si="26"/>
        <v>[kg / kg NG]</v>
      </c>
      <c r="I319" s="255">
        <f t="shared" si="27"/>
        <v>0</v>
      </c>
      <c r="J319" s="59" t="s">
        <v>41</v>
      </c>
      <c r="K319" s="56"/>
      <c r="L319" s="53" t="s">
        <v>93</v>
      </c>
      <c r="M319" s="248" t="s">
        <v>620</v>
      </c>
      <c r="N319" s="256" t="s">
        <v>851</v>
      </c>
      <c r="O319" s="256"/>
      <c r="P319" s="256"/>
      <c r="X319" s="31"/>
      <c r="Y319" s="31"/>
    </row>
    <row r="320" spans="2:25" ht="15" x14ac:dyDescent="0.25">
      <c r="B320" s="9"/>
      <c r="C320" s="223" t="s">
        <v>576</v>
      </c>
      <c r="D320" s="45" t="s">
        <v>819</v>
      </c>
      <c r="E320" s="65">
        <v>1</v>
      </c>
      <c r="F320" s="65" t="s">
        <v>41</v>
      </c>
      <c r="G320" s="54">
        <f t="shared" si="25"/>
        <v>0</v>
      </c>
      <c r="H320" s="55" t="str">
        <f t="shared" si="26"/>
        <v>[kg / kg NG]</v>
      </c>
      <c r="I320" s="255">
        <f t="shared" si="27"/>
        <v>0</v>
      </c>
      <c r="J320" s="59" t="s">
        <v>41</v>
      </c>
      <c r="K320" s="56"/>
      <c r="L320" s="53" t="s">
        <v>93</v>
      </c>
      <c r="M320" s="248" t="s">
        <v>620</v>
      </c>
      <c r="N320" s="256" t="s">
        <v>851</v>
      </c>
      <c r="O320" s="256"/>
      <c r="P320" s="256"/>
      <c r="X320" s="31"/>
      <c r="Y320" s="31"/>
    </row>
    <row r="321" spans="2:25" ht="15" x14ac:dyDescent="0.25">
      <c r="B321" s="9"/>
      <c r="C321" s="223" t="s">
        <v>577</v>
      </c>
      <c r="D321" s="45" t="s">
        <v>820</v>
      </c>
      <c r="E321" s="65">
        <v>1</v>
      </c>
      <c r="F321" s="65" t="s">
        <v>41</v>
      </c>
      <c r="G321" s="54">
        <f t="shared" si="25"/>
        <v>0</v>
      </c>
      <c r="H321" s="55" t="str">
        <f t="shared" si="26"/>
        <v>[kg / kg NG]</v>
      </c>
      <c r="I321" s="255">
        <f t="shared" si="27"/>
        <v>0</v>
      </c>
      <c r="J321" s="59" t="s">
        <v>41</v>
      </c>
      <c r="K321" s="56"/>
      <c r="L321" s="53" t="s">
        <v>93</v>
      </c>
      <c r="M321" s="248" t="s">
        <v>620</v>
      </c>
      <c r="N321" s="256" t="s">
        <v>851</v>
      </c>
      <c r="O321" s="256"/>
      <c r="P321" s="256"/>
      <c r="X321" s="31"/>
      <c r="Y321" s="31"/>
    </row>
    <row r="322" spans="2:25" ht="15" x14ac:dyDescent="0.25">
      <c r="B322" s="9"/>
      <c r="C322" s="223" t="s">
        <v>578</v>
      </c>
      <c r="D322" s="45" t="s">
        <v>821</v>
      </c>
      <c r="E322" s="65">
        <v>1</v>
      </c>
      <c r="F322" s="65" t="s">
        <v>41</v>
      </c>
      <c r="G322" s="54">
        <f t="shared" si="25"/>
        <v>0</v>
      </c>
      <c r="H322" s="55" t="str">
        <f t="shared" si="26"/>
        <v>[kg / kg NG]</v>
      </c>
      <c r="I322" s="255">
        <f t="shared" si="27"/>
        <v>0</v>
      </c>
      <c r="J322" s="59" t="s">
        <v>41</v>
      </c>
      <c r="K322" s="56"/>
      <c r="L322" s="53" t="s">
        <v>93</v>
      </c>
      <c r="M322" s="248" t="s">
        <v>620</v>
      </c>
      <c r="N322" s="256" t="s">
        <v>851</v>
      </c>
      <c r="O322" s="256"/>
      <c r="P322" s="256"/>
      <c r="X322" s="31"/>
      <c r="Y322" s="31"/>
    </row>
    <row r="323" spans="2:25" ht="15" x14ac:dyDescent="0.25">
      <c r="B323" s="9"/>
      <c r="C323" s="223" t="s">
        <v>579</v>
      </c>
      <c r="D323" s="45" t="s">
        <v>822</v>
      </c>
      <c r="E323" s="65">
        <v>1</v>
      </c>
      <c r="F323" s="65" t="s">
        <v>41</v>
      </c>
      <c r="G323" s="54">
        <f t="shared" si="25"/>
        <v>0</v>
      </c>
      <c r="H323" s="55" t="str">
        <f t="shared" si="26"/>
        <v>[kg / kg NG]</v>
      </c>
      <c r="I323" s="255">
        <f t="shared" si="27"/>
        <v>0</v>
      </c>
      <c r="J323" s="59" t="s">
        <v>41</v>
      </c>
      <c r="K323" s="56"/>
      <c r="L323" s="53" t="s">
        <v>93</v>
      </c>
      <c r="M323" s="248" t="s">
        <v>620</v>
      </c>
      <c r="N323" s="256" t="s">
        <v>851</v>
      </c>
      <c r="O323" s="256"/>
      <c r="P323" s="256"/>
      <c r="X323" s="31"/>
      <c r="Y323" s="31"/>
    </row>
    <row r="324" spans="2:25" ht="15" x14ac:dyDescent="0.25">
      <c r="B324" s="9"/>
      <c r="C324" s="223" t="s">
        <v>580</v>
      </c>
      <c r="D324" s="45" t="s">
        <v>823</v>
      </c>
      <c r="E324" s="65">
        <v>1</v>
      </c>
      <c r="F324" s="65" t="s">
        <v>41</v>
      </c>
      <c r="G324" s="54">
        <f t="shared" si="25"/>
        <v>0</v>
      </c>
      <c r="H324" s="55" t="str">
        <f t="shared" si="26"/>
        <v>[kg / kg NG]</v>
      </c>
      <c r="I324" s="255">
        <f t="shared" si="27"/>
        <v>0</v>
      </c>
      <c r="J324" s="59" t="s">
        <v>41</v>
      </c>
      <c r="K324" s="56"/>
      <c r="L324" s="53" t="s">
        <v>93</v>
      </c>
      <c r="M324" s="248" t="s">
        <v>620</v>
      </c>
      <c r="N324" s="256" t="s">
        <v>851</v>
      </c>
      <c r="O324" s="256"/>
      <c r="P324" s="256"/>
      <c r="X324" s="31"/>
      <c r="Y324" s="31"/>
    </row>
    <row r="325" spans="2:25" ht="15" x14ac:dyDescent="0.25">
      <c r="B325" s="9"/>
      <c r="C325" s="223" t="s">
        <v>581</v>
      </c>
      <c r="D325" s="45" t="s">
        <v>824</v>
      </c>
      <c r="E325" s="65">
        <v>1</v>
      </c>
      <c r="F325" s="65" t="s">
        <v>41</v>
      </c>
      <c r="G325" s="54">
        <f t="shared" si="25"/>
        <v>5.8679470046818042E-8</v>
      </c>
      <c r="H325" s="55" t="str">
        <f t="shared" si="26"/>
        <v>[kg / kg NG]</v>
      </c>
      <c r="I325" s="255">
        <f t="shared" si="27"/>
        <v>5.8679470046818042E-8</v>
      </c>
      <c r="J325" s="59" t="s">
        <v>41</v>
      </c>
      <c r="K325" s="56"/>
      <c r="L325" s="53" t="s">
        <v>93</v>
      </c>
      <c r="M325" s="248" t="s">
        <v>620</v>
      </c>
      <c r="N325" s="256" t="s">
        <v>851</v>
      </c>
      <c r="O325" s="256"/>
      <c r="P325" s="256"/>
      <c r="X325" s="31"/>
      <c r="Y325" s="31"/>
    </row>
    <row r="326" spans="2:25" ht="15" x14ac:dyDescent="0.25">
      <c r="B326" s="9"/>
      <c r="C326" s="223" t="s">
        <v>582</v>
      </c>
      <c r="D326" s="45" t="s">
        <v>825</v>
      </c>
      <c r="E326" s="65">
        <v>1</v>
      </c>
      <c r="F326" s="65" t="s">
        <v>41</v>
      </c>
      <c r="G326" s="54">
        <f t="shared" si="25"/>
        <v>0</v>
      </c>
      <c r="H326" s="55" t="str">
        <f t="shared" si="26"/>
        <v>[kg / kg NG]</v>
      </c>
      <c r="I326" s="255">
        <f t="shared" si="27"/>
        <v>0</v>
      </c>
      <c r="J326" s="59" t="s">
        <v>41</v>
      </c>
      <c r="K326" s="56"/>
      <c r="L326" s="53" t="s">
        <v>93</v>
      </c>
      <c r="M326" s="248" t="s">
        <v>620</v>
      </c>
      <c r="N326" s="256" t="s">
        <v>851</v>
      </c>
      <c r="O326" s="256"/>
      <c r="P326" s="256"/>
      <c r="X326" s="31"/>
      <c r="Y326" s="31"/>
    </row>
    <row r="327" spans="2:25" ht="15" x14ac:dyDescent="0.25">
      <c r="B327" s="9"/>
      <c r="C327" s="223" t="s">
        <v>583</v>
      </c>
      <c r="D327" s="45" t="s">
        <v>826</v>
      </c>
      <c r="E327" s="65">
        <v>1</v>
      </c>
      <c r="F327" s="65" t="s">
        <v>41</v>
      </c>
      <c r="G327" s="54">
        <f t="shared" si="25"/>
        <v>0</v>
      </c>
      <c r="H327" s="55" t="str">
        <f t="shared" si="26"/>
        <v>[kg / kg NG]</v>
      </c>
      <c r="I327" s="255">
        <f t="shared" si="27"/>
        <v>0</v>
      </c>
      <c r="J327" s="59" t="s">
        <v>41</v>
      </c>
      <c r="K327" s="56"/>
      <c r="L327" s="53" t="s">
        <v>93</v>
      </c>
      <c r="M327" s="248" t="s">
        <v>620</v>
      </c>
      <c r="N327" s="256" t="s">
        <v>851</v>
      </c>
      <c r="O327" s="256"/>
      <c r="P327" s="256"/>
      <c r="X327" s="31"/>
      <c r="Y327" s="31"/>
    </row>
    <row r="328" spans="2:25" ht="15" x14ac:dyDescent="0.25">
      <c r="B328" s="9"/>
      <c r="C328" s="223" t="s">
        <v>584</v>
      </c>
      <c r="D328" s="45" t="s">
        <v>827</v>
      </c>
      <c r="E328" s="65">
        <v>1</v>
      </c>
      <c r="F328" s="65" t="s">
        <v>41</v>
      </c>
      <c r="G328" s="54">
        <f t="shared" si="25"/>
        <v>0</v>
      </c>
      <c r="H328" s="55" t="str">
        <f t="shared" si="26"/>
        <v>[kg / kg NG]</v>
      </c>
      <c r="I328" s="255">
        <f t="shared" si="27"/>
        <v>0</v>
      </c>
      <c r="J328" s="59" t="s">
        <v>41</v>
      </c>
      <c r="K328" s="56"/>
      <c r="L328" s="53" t="s">
        <v>93</v>
      </c>
      <c r="M328" s="248" t="s">
        <v>620</v>
      </c>
      <c r="N328" s="256" t="s">
        <v>851</v>
      </c>
      <c r="O328" s="256"/>
      <c r="P328" s="256"/>
      <c r="X328" s="31"/>
      <c r="Y328" s="31"/>
    </row>
    <row r="329" spans="2:25" ht="15" x14ac:dyDescent="0.25">
      <c r="B329" s="9"/>
      <c r="C329" s="223" t="s">
        <v>585</v>
      </c>
      <c r="D329" s="45" t="s">
        <v>828</v>
      </c>
      <c r="E329" s="65">
        <v>1</v>
      </c>
      <c r="F329" s="65" t="s">
        <v>41</v>
      </c>
      <c r="G329" s="54">
        <f t="shared" si="25"/>
        <v>0</v>
      </c>
      <c r="H329" s="55" t="str">
        <f t="shared" si="26"/>
        <v>[kg / kg NG]</v>
      </c>
      <c r="I329" s="255">
        <f t="shared" si="27"/>
        <v>0</v>
      </c>
      <c r="J329" s="59" t="s">
        <v>41</v>
      </c>
      <c r="K329" s="56"/>
      <c r="L329" s="53" t="s">
        <v>93</v>
      </c>
      <c r="M329" s="248" t="s">
        <v>620</v>
      </c>
      <c r="N329" s="256" t="s">
        <v>851</v>
      </c>
      <c r="O329" s="256"/>
      <c r="P329" s="256"/>
      <c r="X329" s="31"/>
      <c r="Y329" s="31"/>
    </row>
    <row r="330" spans="2:25" ht="15" x14ac:dyDescent="0.25">
      <c r="B330" s="9"/>
      <c r="C330" s="223" t="s">
        <v>586</v>
      </c>
      <c r="D330" s="45" t="s">
        <v>829</v>
      </c>
      <c r="E330" s="65">
        <v>1</v>
      </c>
      <c r="F330" s="65" t="s">
        <v>41</v>
      </c>
      <c r="G330" s="54">
        <f t="shared" si="25"/>
        <v>0</v>
      </c>
      <c r="H330" s="55" t="str">
        <f t="shared" si="26"/>
        <v>[kg / kg NG]</v>
      </c>
      <c r="I330" s="255">
        <f t="shared" si="27"/>
        <v>0</v>
      </c>
      <c r="J330" s="59" t="s">
        <v>41</v>
      </c>
      <c r="K330" s="56"/>
      <c r="L330" s="53" t="s">
        <v>93</v>
      </c>
      <c r="M330" s="248" t="s">
        <v>620</v>
      </c>
      <c r="N330" s="256" t="s">
        <v>851</v>
      </c>
      <c r="O330" s="256"/>
      <c r="P330" s="256"/>
      <c r="X330" s="31"/>
      <c r="Y330" s="31"/>
    </row>
    <row r="331" spans="2:25" ht="15" x14ac:dyDescent="0.25">
      <c r="B331" s="9"/>
      <c r="C331" s="223" t="s">
        <v>587</v>
      </c>
      <c r="D331" s="45" t="s">
        <v>830</v>
      </c>
      <c r="E331" s="65">
        <v>1</v>
      </c>
      <c r="F331" s="65" t="s">
        <v>41</v>
      </c>
      <c r="G331" s="54">
        <f t="shared" si="25"/>
        <v>4.6607040157951646E-9</v>
      </c>
      <c r="H331" s="55" t="str">
        <f t="shared" si="26"/>
        <v>[kg / kg NG]</v>
      </c>
      <c r="I331" s="255">
        <f t="shared" si="27"/>
        <v>4.6607040157951646E-9</v>
      </c>
      <c r="J331" s="59" t="s">
        <v>41</v>
      </c>
      <c r="K331" s="56"/>
      <c r="L331" s="53" t="s">
        <v>93</v>
      </c>
      <c r="M331" s="248" t="s">
        <v>620</v>
      </c>
      <c r="N331" s="256" t="s">
        <v>851</v>
      </c>
      <c r="O331" s="256"/>
      <c r="P331" s="256"/>
      <c r="X331" s="31"/>
      <c r="Y331" s="31"/>
    </row>
    <row r="332" spans="2:25" ht="15" x14ac:dyDescent="0.25">
      <c r="B332" s="9"/>
      <c r="C332" s="223" t="s">
        <v>588</v>
      </c>
      <c r="D332" s="45" t="s">
        <v>831</v>
      </c>
      <c r="E332" s="65">
        <v>1</v>
      </c>
      <c r="F332" s="65" t="s">
        <v>41</v>
      </c>
      <c r="G332" s="54">
        <f t="shared" si="25"/>
        <v>0</v>
      </c>
      <c r="H332" s="55" t="str">
        <f t="shared" si="26"/>
        <v>[kg / kg NG]</v>
      </c>
      <c r="I332" s="255">
        <f t="shared" si="27"/>
        <v>0</v>
      </c>
      <c r="J332" s="59" t="s">
        <v>41</v>
      </c>
      <c r="K332" s="56"/>
      <c r="L332" s="53" t="s">
        <v>93</v>
      </c>
      <c r="M332" s="248" t="s">
        <v>620</v>
      </c>
      <c r="N332" s="256" t="s">
        <v>851</v>
      </c>
      <c r="O332" s="256"/>
      <c r="P332" s="256"/>
      <c r="X332" s="31"/>
      <c r="Y332" s="31"/>
    </row>
    <row r="333" spans="2:25" ht="15" x14ac:dyDescent="0.25">
      <c r="B333" s="9"/>
      <c r="C333" s="223" t="s">
        <v>589</v>
      </c>
      <c r="D333" s="45" t="s">
        <v>832</v>
      </c>
      <c r="E333" s="65">
        <v>1</v>
      </c>
      <c r="F333" s="65" t="s">
        <v>41</v>
      </c>
      <c r="G333" s="54">
        <f t="shared" si="25"/>
        <v>0</v>
      </c>
      <c r="H333" s="55" t="str">
        <f t="shared" si="26"/>
        <v>[kg / kg NG]</v>
      </c>
      <c r="I333" s="255">
        <f t="shared" si="27"/>
        <v>0</v>
      </c>
      <c r="J333" s="59" t="s">
        <v>41</v>
      </c>
      <c r="K333" s="56"/>
      <c r="L333" s="53" t="s">
        <v>93</v>
      </c>
      <c r="M333" s="248" t="s">
        <v>620</v>
      </c>
      <c r="N333" s="256" t="s">
        <v>851</v>
      </c>
      <c r="O333" s="256"/>
      <c r="P333" s="256"/>
      <c r="X333" s="31"/>
      <c r="Y333" s="31"/>
    </row>
    <row r="334" spans="2:25" ht="15" x14ac:dyDescent="0.25">
      <c r="B334" s="9"/>
      <c r="C334" s="224" t="s">
        <v>590</v>
      </c>
      <c r="D334" s="45" t="s">
        <v>833</v>
      </c>
      <c r="E334" s="65">
        <v>1</v>
      </c>
      <c r="F334" s="65" t="s">
        <v>41</v>
      </c>
      <c r="G334" s="54">
        <f t="shared" si="25"/>
        <v>0</v>
      </c>
      <c r="H334" s="55" t="str">
        <f t="shared" si="26"/>
        <v>[kg / kg NG]</v>
      </c>
      <c r="I334" s="255">
        <f t="shared" si="27"/>
        <v>0</v>
      </c>
      <c r="J334" s="59" t="s">
        <v>41</v>
      </c>
      <c r="K334" s="56"/>
      <c r="L334" s="53" t="s">
        <v>93</v>
      </c>
      <c r="M334" s="248" t="s">
        <v>620</v>
      </c>
      <c r="N334" s="256" t="s">
        <v>851</v>
      </c>
      <c r="O334" s="256"/>
      <c r="P334" s="256"/>
      <c r="X334" s="31"/>
      <c r="Y334" s="31"/>
    </row>
    <row r="335" spans="2:25" ht="15" x14ac:dyDescent="0.25">
      <c r="B335" s="9"/>
      <c r="C335" s="223" t="s">
        <v>591</v>
      </c>
      <c r="D335" s="45" t="s">
        <v>834</v>
      </c>
      <c r="E335" s="65">
        <v>1</v>
      </c>
      <c r="F335" s="65" t="s">
        <v>41</v>
      </c>
      <c r="G335" s="54">
        <f t="shared" si="25"/>
        <v>0</v>
      </c>
      <c r="H335" s="55" t="str">
        <f t="shared" si="26"/>
        <v>[kg / kg NG]</v>
      </c>
      <c r="I335" s="255">
        <f t="shared" si="27"/>
        <v>0</v>
      </c>
      <c r="J335" s="59" t="s">
        <v>41</v>
      </c>
      <c r="K335" s="56"/>
      <c r="L335" s="53" t="s">
        <v>93</v>
      </c>
      <c r="M335" s="248" t="s">
        <v>620</v>
      </c>
      <c r="N335" s="256" t="s">
        <v>851</v>
      </c>
      <c r="O335" s="256"/>
      <c r="P335" s="256"/>
      <c r="X335" s="31"/>
      <c r="Y335" s="31"/>
    </row>
    <row r="336" spans="2:25" ht="15" x14ac:dyDescent="0.25">
      <c r="B336" s="9"/>
      <c r="C336" s="223" t="s">
        <v>592</v>
      </c>
      <c r="D336" s="45" t="s">
        <v>835</v>
      </c>
      <c r="E336" s="65">
        <v>1</v>
      </c>
      <c r="F336" s="65" t="s">
        <v>41</v>
      </c>
      <c r="G336" s="54">
        <f t="shared" si="25"/>
        <v>0</v>
      </c>
      <c r="H336" s="55" t="str">
        <f t="shared" si="26"/>
        <v>[kg / kg NG]</v>
      </c>
      <c r="I336" s="255">
        <f t="shared" si="27"/>
        <v>0</v>
      </c>
      <c r="J336" s="59" t="s">
        <v>41</v>
      </c>
      <c r="K336" s="56"/>
      <c r="L336" s="53" t="s">
        <v>93</v>
      </c>
      <c r="M336" s="248" t="s">
        <v>620</v>
      </c>
      <c r="N336" s="256" t="s">
        <v>851</v>
      </c>
      <c r="O336" s="256"/>
      <c r="P336" s="256"/>
      <c r="X336" s="31"/>
      <c r="Y336" s="31"/>
    </row>
    <row r="337" spans="2:25" ht="15" x14ac:dyDescent="0.25">
      <c r="B337" s="9"/>
      <c r="C337" s="223" t="s">
        <v>593</v>
      </c>
      <c r="D337" s="45" t="s">
        <v>836</v>
      </c>
      <c r="E337" s="65">
        <v>1</v>
      </c>
      <c r="F337" s="65" t="s">
        <v>41</v>
      </c>
      <c r="G337" s="54">
        <f t="shared" si="25"/>
        <v>0</v>
      </c>
      <c r="H337" s="55" t="str">
        <f t="shared" si="26"/>
        <v>[kg / kg NG]</v>
      </c>
      <c r="I337" s="255">
        <f t="shared" si="27"/>
        <v>0</v>
      </c>
      <c r="J337" s="59" t="s">
        <v>41</v>
      </c>
      <c r="K337" s="56"/>
      <c r="L337" s="53" t="s">
        <v>93</v>
      </c>
      <c r="M337" s="248" t="s">
        <v>620</v>
      </c>
      <c r="N337" s="256" t="s">
        <v>851</v>
      </c>
      <c r="O337" s="256"/>
      <c r="P337" s="256"/>
      <c r="X337" s="31"/>
      <c r="Y337" s="31"/>
    </row>
    <row r="338" spans="2:25" ht="15" x14ac:dyDescent="0.25">
      <c r="B338" s="9"/>
      <c r="C338" s="223" t="s">
        <v>594</v>
      </c>
      <c r="D338" s="45" t="s">
        <v>837</v>
      </c>
      <c r="E338" s="65">
        <v>1</v>
      </c>
      <c r="F338" s="65" t="s">
        <v>41</v>
      </c>
      <c r="G338" s="54">
        <f t="shared" si="25"/>
        <v>0</v>
      </c>
      <c r="H338" s="55" t="str">
        <f t="shared" si="26"/>
        <v>[kg / kg NG]</v>
      </c>
      <c r="I338" s="255">
        <f t="shared" si="27"/>
        <v>0</v>
      </c>
      <c r="J338" s="59" t="s">
        <v>41</v>
      </c>
      <c r="K338" s="56"/>
      <c r="L338" s="53" t="s">
        <v>93</v>
      </c>
      <c r="M338" s="248" t="s">
        <v>620</v>
      </c>
      <c r="N338" s="256" t="s">
        <v>851</v>
      </c>
      <c r="O338" s="256"/>
      <c r="P338" s="256"/>
      <c r="X338" s="31"/>
      <c r="Y338" s="31"/>
    </row>
    <row r="339" spans="2:25" ht="15" x14ac:dyDescent="0.25">
      <c r="B339" s="9"/>
      <c r="C339" s="223" t="s">
        <v>595</v>
      </c>
      <c r="D339" s="45" t="s">
        <v>838</v>
      </c>
      <c r="E339" s="65">
        <v>1</v>
      </c>
      <c r="F339" s="65" t="s">
        <v>41</v>
      </c>
      <c r="G339" s="54">
        <f t="shared" si="25"/>
        <v>0</v>
      </c>
      <c r="H339" s="55" t="str">
        <f t="shared" si="26"/>
        <v>[kg / kg NG]</v>
      </c>
      <c r="I339" s="255">
        <f t="shared" si="27"/>
        <v>0</v>
      </c>
      <c r="J339" s="59" t="s">
        <v>41</v>
      </c>
      <c r="K339" s="56"/>
      <c r="L339" s="53" t="s">
        <v>93</v>
      </c>
      <c r="M339" s="248" t="s">
        <v>620</v>
      </c>
      <c r="N339" s="256" t="s">
        <v>851</v>
      </c>
      <c r="O339" s="256"/>
      <c r="P339" s="256"/>
      <c r="X339" s="31"/>
      <c r="Y339" s="31"/>
    </row>
    <row r="340" spans="2:25" ht="15" x14ac:dyDescent="0.25">
      <c r="B340" s="9"/>
      <c r="C340" s="223" t="s">
        <v>596</v>
      </c>
      <c r="D340" s="45" t="s">
        <v>839</v>
      </c>
      <c r="E340" s="65">
        <v>1</v>
      </c>
      <c r="F340" s="65" t="s">
        <v>41</v>
      </c>
      <c r="G340" s="54">
        <f t="shared" si="25"/>
        <v>0</v>
      </c>
      <c r="H340" s="55" t="str">
        <f t="shared" si="26"/>
        <v>[kg / kg NG]</v>
      </c>
      <c r="I340" s="255">
        <f t="shared" si="27"/>
        <v>0</v>
      </c>
      <c r="J340" s="59" t="s">
        <v>41</v>
      </c>
      <c r="K340" s="56"/>
      <c r="L340" s="53" t="s">
        <v>93</v>
      </c>
      <c r="M340" s="248" t="s">
        <v>620</v>
      </c>
      <c r="N340" s="256" t="s">
        <v>851</v>
      </c>
      <c r="O340" s="256"/>
      <c r="P340" s="256"/>
      <c r="X340" s="31"/>
      <c r="Y340" s="31"/>
    </row>
    <row r="341" spans="2:25" ht="15" x14ac:dyDescent="0.25">
      <c r="B341" s="9"/>
      <c r="C341" s="223" t="s">
        <v>597</v>
      </c>
      <c r="D341" s="45" t="s">
        <v>840</v>
      </c>
      <c r="E341" s="65">
        <v>1</v>
      </c>
      <c r="F341" s="65" t="s">
        <v>41</v>
      </c>
      <c r="G341" s="54">
        <f t="shared" si="25"/>
        <v>0</v>
      </c>
      <c r="H341" s="55" t="str">
        <f t="shared" si="26"/>
        <v>[kg / kg NG]</v>
      </c>
      <c r="I341" s="255">
        <f t="shared" si="27"/>
        <v>0</v>
      </c>
      <c r="J341" s="59" t="s">
        <v>41</v>
      </c>
      <c r="K341" s="56"/>
      <c r="L341" s="53" t="s">
        <v>93</v>
      </c>
      <c r="M341" s="248" t="s">
        <v>620</v>
      </c>
      <c r="N341" s="256" t="s">
        <v>851</v>
      </c>
      <c r="O341" s="256"/>
      <c r="P341" s="256"/>
      <c r="X341" s="31"/>
      <c r="Y341" s="31"/>
    </row>
    <row r="342" spans="2:25" ht="15" x14ac:dyDescent="0.25">
      <c r="B342" s="9"/>
      <c r="C342" s="223" t="s">
        <v>598</v>
      </c>
      <c r="D342" s="45" t="s">
        <v>841</v>
      </c>
      <c r="E342" s="65">
        <v>1</v>
      </c>
      <c r="F342" s="65" t="s">
        <v>41</v>
      </c>
      <c r="G342" s="54">
        <f t="shared" si="25"/>
        <v>0</v>
      </c>
      <c r="H342" s="55" t="str">
        <f t="shared" si="26"/>
        <v>[kg / kg NG]</v>
      </c>
      <c r="I342" s="255">
        <f t="shared" si="27"/>
        <v>0</v>
      </c>
      <c r="J342" s="59" t="s">
        <v>41</v>
      </c>
      <c r="K342" s="56"/>
      <c r="L342" s="53" t="s">
        <v>93</v>
      </c>
      <c r="M342" s="248" t="s">
        <v>620</v>
      </c>
      <c r="N342" s="256" t="s">
        <v>851</v>
      </c>
      <c r="O342" s="256"/>
      <c r="P342" s="256"/>
      <c r="X342" s="31"/>
      <c r="Y342" s="31"/>
    </row>
    <row r="343" spans="2:25" ht="15" x14ac:dyDescent="0.25">
      <c r="B343" s="9"/>
      <c r="C343" s="223" t="s">
        <v>599</v>
      </c>
      <c r="D343" s="45" t="s">
        <v>842</v>
      </c>
      <c r="E343" s="65">
        <v>1</v>
      </c>
      <c r="F343" s="65" t="s">
        <v>41</v>
      </c>
      <c r="G343" s="54">
        <f t="shared" si="25"/>
        <v>0</v>
      </c>
      <c r="H343" s="55" t="str">
        <f t="shared" si="26"/>
        <v>[kg / kg NG]</v>
      </c>
      <c r="I343" s="255">
        <f t="shared" si="27"/>
        <v>0</v>
      </c>
      <c r="J343" s="59" t="s">
        <v>41</v>
      </c>
      <c r="K343" s="56"/>
      <c r="L343" s="53" t="s">
        <v>93</v>
      </c>
      <c r="M343" s="248" t="s">
        <v>620</v>
      </c>
      <c r="N343" s="256" t="s">
        <v>851</v>
      </c>
      <c r="O343" s="256"/>
      <c r="P343" s="256"/>
      <c r="X343" s="31"/>
      <c r="Y343" s="31"/>
    </row>
    <row r="344" spans="2:25" ht="15" x14ac:dyDescent="0.25">
      <c r="B344" s="9"/>
      <c r="C344" s="223" t="s">
        <v>600</v>
      </c>
      <c r="D344" s="45" t="s">
        <v>843</v>
      </c>
      <c r="E344" s="65">
        <v>1</v>
      </c>
      <c r="F344" s="65" t="s">
        <v>41</v>
      </c>
      <c r="G344" s="54">
        <f t="shared" si="25"/>
        <v>0</v>
      </c>
      <c r="H344" s="55" t="str">
        <f t="shared" si="26"/>
        <v>[kg / kg NG]</v>
      </c>
      <c r="I344" s="255">
        <f t="shared" si="27"/>
        <v>0</v>
      </c>
      <c r="J344" s="59" t="s">
        <v>41</v>
      </c>
      <c r="K344" s="56"/>
      <c r="L344" s="53" t="s">
        <v>93</v>
      </c>
      <c r="M344" s="248" t="s">
        <v>620</v>
      </c>
      <c r="N344" s="256" t="s">
        <v>851</v>
      </c>
      <c r="O344" s="256"/>
      <c r="P344" s="256"/>
      <c r="X344" s="31"/>
      <c r="Y344" s="31"/>
    </row>
    <row r="345" spans="2:25" ht="15" x14ac:dyDescent="0.25">
      <c r="B345" s="9"/>
      <c r="C345" s="223" t="s">
        <v>601</v>
      </c>
      <c r="D345" s="45" t="s">
        <v>844</v>
      </c>
      <c r="E345" s="65">
        <v>1</v>
      </c>
      <c r="F345" s="65" t="s">
        <v>41</v>
      </c>
      <c r="G345" s="54">
        <f t="shared" si="25"/>
        <v>0</v>
      </c>
      <c r="H345" s="55" t="str">
        <f t="shared" si="26"/>
        <v>[kg / kg NG]</v>
      </c>
      <c r="I345" s="255">
        <f t="shared" si="27"/>
        <v>0</v>
      </c>
      <c r="J345" s="59" t="s">
        <v>41</v>
      </c>
      <c r="K345" s="56"/>
      <c r="L345" s="53" t="s">
        <v>93</v>
      </c>
      <c r="M345" s="248" t="s">
        <v>620</v>
      </c>
      <c r="N345" s="256" t="s">
        <v>851</v>
      </c>
      <c r="O345" s="256"/>
      <c r="P345" s="256"/>
      <c r="X345" s="31"/>
      <c r="Y345" s="31"/>
    </row>
    <row r="346" spans="2:25" ht="15" x14ac:dyDescent="0.25">
      <c r="B346" s="9"/>
      <c r="C346" s="223" t="s">
        <v>602</v>
      </c>
      <c r="D346" s="45" t="s">
        <v>845</v>
      </c>
      <c r="E346" s="65">
        <v>1</v>
      </c>
      <c r="F346" s="65" t="s">
        <v>41</v>
      </c>
      <c r="G346" s="54">
        <f t="shared" si="25"/>
        <v>0</v>
      </c>
      <c r="H346" s="55" t="str">
        <f t="shared" si="26"/>
        <v>[kg / kg NG]</v>
      </c>
      <c r="I346" s="255">
        <f t="shared" si="27"/>
        <v>0</v>
      </c>
      <c r="J346" s="59" t="s">
        <v>41</v>
      </c>
      <c r="K346" s="56"/>
      <c r="L346" s="53" t="s">
        <v>93</v>
      </c>
      <c r="M346" s="248" t="s">
        <v>620</v>
      </c>
      <c r="N346" s="256" t="s">
        <v>851</v>
      </c>
      <c r="O346" s="256"/>
      <c r="P346" s="256"/>
      <c r="X346" s="31"/>
      <c r="Y346" s="31"/>
    </row>
    <row r="347" spans="2:25" ht="15" x14ac:dyDescent="0.25">
      <c r="B347" s="9"/>
      <c r="C347" s="223" t="s">
        <v>603</v>
      </c>
      <c r="D347" s="45" t="s">
        <v>846</v>
      </c>
      <c r="E347" s="65">
        <v>1</v>
      </c>
      <c r="F347" s="65" t="s">
        <v>41</v>
      </c>
      <c r="G347" s="54">
        <f t="shared" si="25"/>
        <v>0</v>
      </c>
      <c r="H347" s="55" t="str">
        <f t="shared" si="26"/>
        <v>[kg / kg NG]</v>
      </c>
      <c r="I347" s="255">
        <f t="shared" si="27"/>
        <v>0</v>
      </c>
      <c r="J347" s="59" t="s">
        <v>41</v>
      </c>
      <c r="K347" s="56"/>
      <c r="L347" s="53" t="s">
        <v>93</v>
      </c>
      <c r="M347" s="248" t="s">
        <v>620</v>
      </c>
      <c r="N347" s="256" t="s">
        <v>851</v>
      </c>
      <c r="O347" s="257"/>
      <c r="P347" s="257"/>
      <c r="X347" s="31"/>
      <c r="Y347" s="31"/>
    </row>
    <row r="348" spans="2:25" ht="15" x14ac:dyDescent="0.25">
      <c r="B348" s="9"/>
      <c r="C348" s="224" t="s">
        <v>604</v>
      </c>
      <c r="D348" s="45" t="s">
        <v>847</v>
      </c>
      <c r="E348" s="65">
        <v>1</v>
      </c>
      <c r="F348" s="65" t="s">
        <v>41</v>
      </c>
      <c r="G348" s="54">
        <f t="shared" si="25"/>
        <v>0</v>
      </c>
      <c r="H348" s="55" t="str">
        <f t="shared" si="26"/>
        <v>[kg / kg NG]</v>
      </c>
      <c r="I348" s="255">
        <f>IF(D348="","",E348*G348*$D$5)</f>
        <v>0</v>
      </c>
      <c r="J348" s="59" t="s">
        <v>41</v>
      </c>
      <c r="K348" s="56"/>
      <c r="L348" s="53" t="s">
        <v>93</v>
      </c>
      <c r="M348" s="248" t="s">
        <v>620</v>
      </c>
      <c r="N348" s="256" t="s">
        <v>851</v>
      </c>
      <c r="O348" s="258"/>
      <c r="P348" s="259"/>
      <c r="X348" s="31"/>
      <c r="Y348" s="31"/>
    </row>
    <row r="349" spans="2:25" ht="15" x14ac:dyDescent="0.25">
      <c r="B349" s="9"/>
      <c r="C349" s="224" t="s">
        <v>605</v>
      </c>
      <c r="D349" s="45" t="s">
        <v>848</v>
      </c>
      <c r="E349" s="65">
        <v>1</v>
      </c>
      <c r="F349" s="65" t="s">
        <v>41</v>
      </c>
      <c r="G349" s="54">
        <f t="shared" si="25"/>
        <v>0</v>
      </c>
      <c r="H349" s="55" t="str">
        <f t="shared" si="26"/>
        <v>[kg / kg NG]</v>
      </c>
      <c r="I349" s="255">
        <f t="shared" si="22"/>
        <v>0</v>
      </c>
      <c r="J349" s="59" t="s">
        <v>41</v>
      </c>
      <c r="K349" s="56"/>
      <c r="L349" s="53" t="s">
        <v>93</v>
      </c>
      <c r="M349" s="248" t="s">
        <v>620</v>
      </c>
      <c r="N349" s="256" t="s">
        <v>851</v>
      </c>
      <c r="O349" s="257"/>
      <c r="P349" s="257"/>
      <c r="X349" s="31"/>
      <c r="Y349" s="31"/>
    </row>
    <row r="350" spans="2:25" ht="15" x14ac:dyDescent="0.25">
      <c r="B350" s="9"/>
      <c r="C350" s="224" t="s">
        <v>606</v>
      </c>
      <c r="D350" s="45" t="s">
        <v>849</v>
      </c>
      <c r="E350" s="65">
        <v>1</v>
      </c>
      <c r="F350" s="65" t="s">
        <v>41</v>
      </c>
      <c r="G350" s="54">
        <f t="shared" si="25"/>
        <v>0</v>
      </c>
      <c r="H350" s="55" t="str">
        <f t="shared" si="26"/>
        <v>[kg / kg NG]</v>
      </c>
      <c r="I350" s="255">
        <f t="shared" si="22"/>
        <v>0</v>
      </c>
      <c r="J350" s="59" t="s">
        <v>41</v>
      </c>
      <c r="K350" s="56"/>
      <c r="L350" s="53" t="s">
        <v>93</v>
      </c>
      <c r="M350" s="248" t="s">
        <v>620</v>
      </c>
      <c r="N350" s="256" t="s">
        <v>851</v>
      </c>
      <c r="O350" s="256"/>
      <c r="P350" s="256"/>
      <c r="X350" s="31"/>
      <c r="Y350" s="31"/>
    </row>
    <row r="351" spans="2:25" x14ac:dyDescent="0.2">
      <c r="B351" s="9"/>
      <c r="C351" s="59"/>
      <c r="D351" s="68"/>
      <c r="E351" s="65"/>
      <c r="F351" s="65"/>
      <c r="G351" s="54">
        <f t="shared" si="25"/>
        <v>1</v>
      </c>
      <c r="H351" s="55" t="str">
        <f t="shared" si="26"/>
        <v/>
      </c>
      <c r="I351" s="242" t="str">
        <f t="shared" si="22"/>
        <v/>
      </c>
      <c r="J351" s="65"/>
      <c r="K351" s="56"/>
      <c r="L351" s="53"/>
      <c r="M351" s="57"/>
      <c r="N351" s="299"/>
      <c r="O351" s="299"/>
      <c r="P351" s="299"/>
      <c r="X351" s="31"/>
      <c r="Y351" s="31"/>
    </row>
    <row r="352" spans="2:25" x14ac:dyDescent="0.2">
      <c r="B352" s="9"/>
      <c r="C352" s="59"/>
      <c r="D352" s="68"/>
      <c r="E352" s="65"/>
      <c r="F352" s="65"/>
      <c r="G352" s="54">
        <f t="shared" si="25"/>
        <v>1</v>
      </c>
      <c r="H352" s="55" t="str">
        <f t="shared" si="26"/>
        <v/>
      </c>
      <c r="I352" s="242" t="str">
        <f t="shared" si="22"/>
        <v/>
      </c>
      <c r="J352" s="65"/>
      <c r="K352" s="56"/>
      <c r="L352" s="53"/>
      <c r="M352" s="57"/>
      <c r="N352" s="299"/>
      <c r="O352" s="299"/>
      <c r="P352" s="299"/>
      <c r="X352" s="31"/>
      <c r="Y352" s="31"/>
    </row>
    <row r="353" spans="2:25" x14ac:dyDescent="0.2">
      <c r="B353" s="9"/>
      <c r="C353" s="59"/>
      <c r="D353" s="68"/>
      <c r="E353" s="65"/>
      <c r="F353" s="65"/>
      <c r="G353" s="54">
        <f t="shared" si="25"/>
        <v>1</v>
      </c>
      <c r="H353" s="55" t="str">
        <f t="shared" si="26"/>
        <v/>
      </c>
      <c r="I353" s="242" t="str">
        <f t="shared" si="22"/>
        <v/>
      </c>
      <c r="J353" s="65"/>
      <c r="K353" s="56"/>
      <c r="L353" s="53"/>
      <c r="M353" s="57"/>
      <c r="N353" s="299"/>
      <c r="O353" s="299"/>
      <c r="P353" s="299"/>
      <c r="X353" s="31"/>
      <c r="Y353" s="31"/>
    </row>
    <row r="354" spans="2:25" x14ac:dyDescent="0.2">
      <c r="B354" s="9"/>
      <c r="C354" s="59"/>
      <c r="D354" s="68"/>
      <c r="E354" s="65"/>
      <c r="F354" s="65"/>
      <c r="G354" s="54">
        <f t="shared" si="25"/>
        <v>1</v>
      </c>
      <c r="H354" s="55" t="str">
        <f t="shared" si="26"/>
        <v/>
      </c>
      <c r="I354" s="242" t="str">
        <f t="shared" si="22"/>
        <v/>
      </c>
      <c r="J354" s="65"/>
      <c r="K354" s="56"/>
      <c r="L354" s="53"/>
      <c r="M354" s="57"/>
      <c r="N354" s="299"/>
      <c r="O354" s="299"/>
      <c r="P354" s="299"/>
      <c r="X354" s="31"/>
      <c r="Y354" s="31"/>
    </row>
    <row r="355" spans="2:25" x14ac:dyDescent="0.2">
      <c r="B355" s="9"/>
      <c r="C355" s="59"/>
      <c r="D355" s="68"/>
      <c r="E355" s="65"/>
      <c r="F355" s="65"/>
      <c r="G355" s="54">
        <f t="shared" si="25"/>
        <v>1</v>
      </c>
      <c r="H355" s="55" t="str">
        <f t="shared" si="26"/>
        <v/>
      </c>
      <c r="I355" s="242" t="str">
        <f t="shared" si="22"/>
        <v/>
      </c>
      <c r="J355" s="65"/>
      <c r="K355" s="56"/>
      <c r="L355" s="53"/>
      <c r="M355" s="57"/>
      <c r="N355" s="299"/>
      <c r="O355" s="299"/>
      <c r="P355" s="299"/>
      <c r="X355" s="31"/>
      <c r="Y355" s="31"/>
    </row>
    <row r="356" spans="2:25" x14ac:dyDescent="0.2">
      <c r="B356" s="9"/>
      <c r="C356" s="59"/>
      <c r="D356" s="68"/>
      <c r="E356" s="65"/>
      <c r="F356" s="65"/>
      <c r="G356" s="54">
        <f t="shared" si="25"/>
        <v>1</v>
      </c>
      <c r="H356" s="55" t="str">
        <f t="shared" si="26"/>
        <v/>
      </c>
      <c r="I356" s="242" t="str">
        <f t="shared" si="22"/>
        <v/>
      </c>
      <c r="J356" s="65"/>
      <c r="K356" s="56"/>
      <c r="L356" s="53"/>
      <c r="M356" s="57"/>
      <c r="N356" s="299"/>
      <c r="O356" s="299"/>
      <c r="P356" s="299"/>
      <c r="X356" s="31"/>
      <c r="Y356" s="31"/>
    </row>
    <row r="357" spans="2:25" x14ac:dyDescent="0.2">
      <c r="B357" s="9"/>
      <c r="C357" s="59"/>
      <c r="D357" s="59"/>
      <c r="E357" s="65"/>
      <c r="F357" s="65"/>
      <c r="G357" s="54">
        <f t="shared" si="25"/>
        <v>1</v>
      </c>
      <c r="H357" s="55" t="str">
        <f t="shared" si="26"/>
        <v/>
      </c>
      <c r="I357" s="242" t="str">
        <f t="shared" si="22"/>
        <v/>
      </c>
      <c r="J357" s="65"/>
      <c r="K357" s="56"/>
      <c r="L357" s="53"/>
      <c r="M357" s="57"/>
      <c r="N357" s="299"/>
      <c r="O357" s="299"/>
      <c r="P357" s="299"/>
      <c r="X357" s="31"/>
      <c r="Y357" s="31"/>
    </row>
    <row r="358" spans="2:25" x14ac:dyDescent="0.2">
      <c r="B358" s="9"/>
      <c r="C358" s="59"/>
      <c r="D358" s="69"/>
      <c r="E358" s="65"/>
      <c r="F358" s="65"/>
      <c r="G358" s="54">
        <f t="shared" si="25"/>
        <v>1</v>
      </c>
      <c r="H358" s="55" t="str">
        <f t="shared" si="26"/>
        <v/>
      </c>
      <c r="I358" s="242" t="str">
        <f>IF(D358="","",E358*G358*$D$5)</f>
        <v/>
      </c>
      <c r="J358" s="65"/>
      <c r="K358" s="56"/>
      <c r="L358" s="53"/>
      <c r="M358" s="57"/>
      <c r="N358" s="299"/>
      <c r="O358" s="299"/>
      <c r="P358" s="299"/>
      <c r="X358" s="31"/>
      <c r="Y358" s="31"/>
    </row>
    <row r="359" spans="2:25" x14ac:dyDescent="0.2">
      <c r="B359" s="9"/>
      <c r="C359" s="61" t="s">
        <v>65</v>
      </c>
      <c r="D359" s="70" t="s">
        <v>66</v>
      </c>
      <c r="E359" s="62" t="s">
        <v>76</v>
      </c>
      <c r="F359" s="48"/>
      <c r="G359" s="71"/>
      <c r="H359" s="72"/>
      <c r="I359" s="72"/>
      <c r="J359" s="48"/>
      <c r="K359" s="62"/>
      <c r="L359" s="48" t="s">
        <v>78</v>
      </c>
      <c r="M359" s="63"/>
      <c r="N359" s="300"/>
      <c r="O359" s="300"/>
      <c r="P359" s="300"/>
      <c r="X359" s="31"/>
      <c r="Y359" s="31"/>
    </row>
    <row r="360" spans="2:25" x14ac:dyDescent="0.2">
      <c r="B360" s="9"/>
      <c r="C360" s="2"/>
      <c r="D360" s="2"/>
      <c r="E360" s="2"/>
      <c r="F360" s="2"/>
      <c r="G360" s="2"/>
      <c r="H360" s="2"/>
      <c r="J360" s="2"/>
      <c r="K360" s="2"/>
      <c r="L360" s="2"/>
      <c r="M360" s="2"/>
      <c r="N360" s="2"/>
      <c r="O360" s="2"/>
      <c r="P360" s="2"/>
      <c r="X360" s="31"/>
      <c r="Y360" s="31"/>
    </row>
    <row r="361" spans="2:25" x14ac:dyDescent="0.2">
      <c r="B361" s="9"/>
      <c r="C361" s="2"/>
      <c r="D361" s="2"/>
      <c r="E361" s="2"/>
      <c r="F361" s="2"/>
      <c r="G361" s="2"/>
      <c r="H361" s="2"/>
      <c r="J361" s="2"/>
      <c r="K361" s="2"/>
      <c r="L361" s="2"/>
      <c r="M361" s="2"/>
      <c r="N361" s="2"/>
      <c r="O361" s="2"/>
      <c r="P361" s="2"/>
    </row>
    <row r="362" spans="2:25" x14ac:dyDescent="0.2">
      <c r="B362" s="9"/>
      <c r="C362" s="2"/>
      <c r="D362" s="2"/>
      <c r="E362" s="2"/>
      <c r="F362" s="2"/>
      <c r="G362" s="2"/>
      <c r="H362" s="2"/>
      <c r="J362" s="2"/>
      <c r="K362" s="2"/>
      <c r="L362" s="2"/>
      <c r="M362" s="2"/>
      <c r="N362" s="2"/>
      <c r="O362" s="2"/>
      <c r="P362" s="2"/>
    </row>
    <row r="363" spans="2:25" x14ac:dyDescent="0.2">
      <c r="B363" s="9"/>
      <c r="C363" s="2"/>
      <c r="D363" s="2"/>
      <c r="E363" s="2"/>
      <c r="F363" s="2"/>
      <c r="G363" s="2"/>
      <c r="H363" s="2"/>
      <c r="J363" s="2"/>
      <c r="K363" s="2"/>
      <c r="L363" s="2"/>
      <c r="M363" s="2"/>
      <c r="N363" s="2"/>
      <c r="O363" s="2"/>
      <c r="P363" s="2"/>
    </row>
    <row r="364" spans="2:25" x14ac:dyDescent="0.2">
      <c r="B364" s="9"/>
      <c r="C364" s="2"/>
      <c r="D364" s="2"/>
      <c r="E364" s="2"/>
      <c r="F364" s="2"/>
      <c r="G364" s="2"/>
      <c r="H364" s="2"/>
      <c r="J364" s="2"/>
      <c r="K364" s="2"/>
      <c r="L364" s="2"/>
      <c r="M364" s="2"/>
      <c r="N364" s="2"/>
      <c r="O364" s="2"/>
      <c r="P364" s="2"/>
    </row>
    <row r="365" spans="2:25" x14ac:dyDescent="0.2">
      <c r="B365" s="9"/>
      <c r="C365" s="2"/>
      <c r="D365" s="2"/>
      <c r="E365" s="2"/>
      <c r="F365" s="2"/>
      <c r="G365" s="2"/>
      <c r="H365" s="2"/>
      <c r="J365" s="2"/>
      <c r="K365" s="2"/>
      <c r="L365" s="2"/>
      <c r="M365" s="2"/>
      <c r="N365" s="2"/>
      <c r="O365" s="2"/>
      <c r="P365" s="2"/>
    </row>
    <row r="366" spans="2:25" x14ac:dyDescent="0.2">
      <c r="B366" s="9"/>
      <c r="C366" s="2"/>
      <c r="D366" s="2"/>
      <c r="E366" s="2"/>
      <c r="F366" s="2"/>
      <c r="G366" s="2"/>
      <c r="H366" s="2"/>
      <c r="J366" s="2"/>
      <c r="K366" s="2"/>
      <c r="L366" s="2"/>
      <c r="M366" s="2"/>
      <c r="N366" s="2"/>
      <c r="O366" s="2"/>
      <c r="P366" s="2"/>
    </row>
    <row r="367" spans="2:25" x14ac:dyDescent="0.2">
      <c r="B367" s="9"/>
      <c r="C367" s="2"/>
      <c r="D367" s="2"/>
      <c r="E367" s="2"/>
      <c r="F367" s="2"/>
      <c r="G367" s="2"/>
      <c r="H367" s="2"/>
      <c r="J367" s="2"/>
      <c r="K367" s="2"/>
      <c r="L367" s="2"/>
      <c r="M367" s="2"/>
      <c r="N367" s="2"/>
      <c r="O367" s="2"/>
      <c r="P367" s="2"/>
    </row>
    <row r="368" spans="2:25" s="2" customFormat="1" x14ac:dyDescent="0.2">
      <c r="B368" s="9"/>
    </row>
    <row r="369" spans="2:2" s="2" customFormat="1" x14ac:dyDescent="0.2">
      <c r="B369" s="9"/>
    </row>
    <row r="370" spans="2:2" s="2" customFormat="1" x14ac:dyDescent="0.2">
      <c r="B370" s="9"/>
    </row>
    <row r="371" spans="2:2" s="2" customFormat="1" x14ac:dyDescent="0.2">
      <c r="B371" s="9"/>
    </row>
    <row r="372" spans="2:2" s="2" customFormat="1" x14ac:dyDescent="0.2">
      <c r="B372" s="9"/>
    </row>
    <row r="373" spans="2:2" s="2" customFormat="1" x14ac:dyDescent="0.2">
      <c r="B373" s="9"/>
    </row>
    <row r="374" spans="2:2" s="2" customFormat="1" x14ac:dyDescent="0.2">
      <c r="B374" s="9"/>
    </row>
    <row r="375" spans="2:2" s="2" customFormat="1" x14ac:dyDescent="0.2">
      <c r="B375" s="9"/>
    </row>
    <row r="376" spans="2:2" s="2" customFormat="1" x14ac:dyDescent="0.2">
      <c r="B376" s="9"/>
    </row>
    <row r="377" spans="2:2" s="2" customFormat="1" x14ac:dyDescent="0.2">
      <c r="B377" s="9"/>
    </row>
    <row r="378" spans="2:2" s="2" customFormat="1" x14ac:dyDescent="0.2">
      <c r="B378" s="9"/>
    </row>
    <row r="379" spans="2:2" s="2" customFormat="1" x14ac:dyDescent="0.2">
      <c r="B379" s="9"/>
    </row>
    <row r="380" spans="2:2" s="2" customFormat="1" x14ac:dyDescent="0.2">
      <c r="B380" s="9"/>
    </row>
    <row r="381" spans="2:2" s="2" customFormat="1" x14ac:dyDescent="0.2">
      <c r="B381" s="9"/>
    </row>
    <row r="382" spans="2:2" s="2" customFormat="1" x14ac:dyDescent="0.2">
      <c r="B382" s="9"/>
    </row>
    <row r="383" spans="2:2" s="2" customFormat="1" x14ac:dyDescent="0.2">
      <c r="B383" s="9"/>
    </row>
    <row r="384" spans="2:2" s="2" customFormat="1" x14ac:dyDescent="0.2">
      <c r="B384" s="9"/>
    </row>
    <row r="385" spans="2:2" s="2" customFormat="1" x14ac:dyDescent="0.2">
      <c r="B385" s="9"/>
    </row>
    <row r="386" spans="2:2" s="2" customFormat="1" x14ac:dyDescent="0.2">
      <c r="B386" s="9"/>
    </row>
    <row r="387" spans="2:2" s="2" customFormat="1" x14ac:dyDescent="0.2">
      <c r="B387" s="9"/>
    </row>
    <row r="388" spans="2:2" s="2" customFormat="1" x14ac:dyDescent="0.2">
      <c r="B388" s="9"/>
    </row>
    <row r="389" spans="2:2" s="2" customFormat="1" x14ac:dyDescent="0.2">
      <c r="B389" s="9"/>
    </row>
    <row r="390" spans="2:2" s="2" customFormat="1" x14ac:dyDescent="0.2">
      <c r="B390" s="9"/>
    </row>
    <row r="391" spans="2:2" s="2" customFormat="1" x14ac:dyDescent="0.2">
      <c r="B391" s="9"/>
    </row>
    <row r="392" spans="2:2" s="2" customFormat="1" x14ac:dyDescent="0.2">
      <c r="B392" s="9"/>
    </row>
    <row r="393" spans="2:2" s="2" customFormat="1" x14ac:dyDescent="0.2">
      <c r="B393" s="9"/>
    </row>
    <row r="394" spans="2:2" s="2" customFormat="1" x14ac:dyDescent="0.2">
      <c r="B394" s="9"/>
    </row>
    <row r="395" spans="2:2" s="2" customFormat="1" x14ac:dyDescent="0.2">
      <c r="B395" s="9"/>
    </row>
    <row r="396" spans="2:2" s="2" customFormat="1" x14ac:dyDescent="0.2">
      <c r="B396" s="9"/>
    </row>
    <row r="397" spans="2:2" s="2" customFormat="1" x14ac:dyDescent="0.2">
      <c r="B397" s="9"/>
    </row>
    <row r="398" spans="2:2" s="2" customFormat="1" x14ac:dyDescent="0.2">
      <c r="B398" s="9"/>
    </row>
    <row r="399" spans="2:2" s="2" customFormat="1" x14ac:dyDescent="0.2">
      <c r="B399" s="9"/>
    </row>
    <row r="400" spans="2:2" s="2" customFormat="1" x14ac:dyDescent="0.2">
      <c r="B400" s="9"/>
    </row>
    <row r="401" spans="1:25" s="2" customFormat="1" x14ac:dyDescent="0.2">
      <c r="B401" s="9"/>
    </row>
    <row r="402" spans="1:25" s="2" customFormat="1" x14ac:dyDescent="0.2">
      <c r="B402" s="9"/>
    </row>
    <row r="403" spans="1:25" s="2" customFormat="1" x14ac:dyDescent="0.2">
      <c r="B403" s="9"/>
    </row>
    <row r="404" spans="1:25" s="2" customFormat="1" x14ac:dyDescent="0.2">
      <c r="B404" s="9"/>
    </row>
    <row r="405" spans="1:25" s="2" customFormat="1" x14ac:dyDescent="0.2">
      <c r="B405" s="9"/>
    </row>
    <row r="406" spans="1:25" s="2" customFormat="1" x14ac:dyDescent="0.2">
      <c r="B406" s="9"/>
    </row>
    <row r="407" spans="1:25" s="2" customFormat="1" x14ac:dyDescent="0.2">
      <c r="B407" s="9"/>
    </row>
    <row r="408" spans="1:25" s="2" customFormat="1" x14ac:dyDescent="0.2">
      <c r="B408" s="9"/>
    </row>
    <row r="409" spans="1:25" s="2" customFormat="1" x14ac:dyDescent="0.2">
      <c r="B409" s="9"/>
    </row>
    <row r="410" spans="1:25" s="2" customFormat="1" x14ac:dyDescent="0.2">
      <c r="B410" s="9"/>
    </row>
    <row r="411" spans="1:25" s="2" customFormat="1" x14ac:dyDescent="0.2">
      <c r="B411" s="9"/>
    </row>
    <row r="412" spans="1:25" s="2" customFormat="1" x14ac:dyDescent="0.2">
      <c r="B412" s="9"/>
    </row>
    <row r="413" spans="1:25" s="2" customFormat="1" x14ac:dyDescent="0.2">
      <c r="B413" s="9"/>
    </row>
    <row r="414" spans="1:25" s="2" customFormat="1" x14ac:dyDescent="0.2">
      <c r="B414" s="9"/>
    </row>
    <row r="415" spans="1:25" s="2" customFormat="1" x14ac:dyDescent="0.2">
      <c r="B415" s="73" t="s">
        <v>81</v>
      </c>
    </row>
    <row r="416" spans="1:25" s="74" customFormat="1" x14ac:dyDescent="0.2">
      <c r="A416" s="9"/>
      <c r="B416" s="9"/>
      <c r="C416" s="9" t="s">
        <v>82</v>
      </c>
      <c r="D416" s="9" t="s">
        <v>83</v>
      </c>
      <c r="E416" s="9" t="s">
        <v>84</v>
      </c>
      <c r="F416" s="9"/>
      <c r="G416" s="9"/>
      <c r="H416" s="9" t="s">
        <v>75</v>
      </c>
      <c r="I416" s="9"/>
      <c r="J416" s="9" t="s">
        <v>74</v>
      </c>
      <c r="K416" s="9"/>
      <c r="L416" s="9"/>
      <c r="M416" s="9"/>
      <c r="N416" s="9"/>
      <c r="O416" s="9"/>
      <c r="P416" s="9"/>
      <c r="Q416" s="9"/>
      <c r="R416" s="9"/>
      <c r="S416" s="9"/>
      <c r="T416" s="9"/>
      <c r="U416" s="9"/>
      <c r="V416" s="9"/>
      <c r="W416" s="9"/>
      <c r="X416" s="9"/>
      <c r="Y416" s="9"/>
    </row>
    <row r="417" spans="2:16" x14ac:dyDescent="0.2">
      <c r="B417" s="9"/>
      <c r="C417" s="75" t="s">
        <v>78</v>
      </c>
      <c r="D417" s="75" t="s">
        <v>78</v>
      </c>
      <c r="E417" s="75" t="s">
        <v>78</v>
      </c>
      <c r="F417" s="2"/>
      <c r="G417" s="2"/>
      <c r="H417" s="75" t="s">
        <v>78</v>
      </c>
      <c r="J417" s="2"/>
      <c r="K417" s="2"/>
      <c r="L417" s="2"/>
      <c r="M417" s="2"/>
      <c r="N417" s="2"/>
      <c r="O417" s="2"/>
      <c r="P417" s="2"/>
    </row>
    <row r="418" spans="2:16" x14ac:dyDescent="0.2">
      <c r="B418" s="9"/>
      <c r="C418" s="17" t="s">
        <v>85</v>
      </c>
      <c r="D418" s="2" t="s">
        <v>86</v>
      </c>
      <c r="E418" s="2" t="s">
        <v>87</v>
      </c>
      <c r="F418" s="2"/>
      <c r="G418" s="2"/>
      <c r="H418" s="2" t="s">
        <v>88</v>
      </c>
      <c r="J418" s="2" t="s">
        <v>89</v>
      </c>
      <c r="K418" s="2"/>
      <c r="L418" s="2"/>
      <c r="M418" s="2"/>
      <c r="N418" s="2"/>
      <c r="O418" s="2"/>
      <c r="P418" s="2"/>
    </row>
    <row r="419" spans="2:16" x14ac:dyDescent="0.2">
      <c r="B419" s="9"/>
      <c r="C419" s="2" t="s">
        <v>90</v>
      </c>
      <c r="D419" s="2" t="s">
        <v>91</v>
      </c>
      <c r="E419" s="2" t="s">
        <v>92</v>
      </c>
      <c r="F419" s="2"/>
      <c r="G419" s="2"/>
      <c r="H419" s="2" t="s">
        <v>93</v>
      </c>
      <c r="J419" s="2" t="s">
        <v>94</v>
      </c>
      <c r="K419" s="2"/>
      <c r="L419" s="2"/>
      <c r="M419" s="2"/>
      <c r="N419" s="2"/>
      <c r="O419" s="2"/>
      <c r="P419" s="2"/>
    </row>
    <row r="420" spans="2:16" x14ac:dyDescent="0.2">
      <c r="B420" s="9"/>
      <c r="C420" s="2" t="s">
        <v>95</v>
      </c>
      <c r="D420" s="2" t="s">
        <v>96</v>
      </c>
      <c r="E420" s="2" t="s">
        <v>97</v>
      </c>
      <c r="F420" s="2"/>
      <c r="G420" s="2"/>
      <c r="H420" s="2" t="s">
        <v>98</v>
      </c>
      <c r="J420" s="2"/>
      <c r="K420" s="2"/>
      <c r="L420" s="2"/>
      <c r="M420" s="2"/>
      <c r="N420" s="2"/>
      <c r="O420" s="2"/>
      <c r="P420" s="2"/>
    </row>
    <row r="421" spans="2:16" x14ac:dyDescent="0.2">
      <c r="B421" s="9"/>
      <c r="C421" s="2" t="s">
        <v>99</v>
      </c>
      <c r="D421" s="2" t="s">
        <v>100</v>
      </c>
      <c r="E421" s="2" t="s">
        <v>101</v>
      </c>
      <c r="F421" s="2"/>
      <c r="G421" s="2"/>
      <c r="H421" s="2" t="s">
        <v>102</v>
      </c>
      <c r="J421" s="2"/>
      <c r="K421" s="2"/>
      <c r="L421" s="2"/>
      <c r="M421" s="2"/>
      <c r="N421" s="2"/>
      <c r="O421" s="2"/>
      <c r="P421" s="2"/>
    </row>
    <row r="422" spans="2:16" x14ac:dyDescent="0.2">
      <c r="B422" s="9"/>
      <c r="C422" s="2" t="s">
        <v>103</v>
      </c>
      <c r="D422" s="2"/>
      <c r="E422" s="2" t="s">
        <v>104</v>
      </c>
      <c r="F422" s="2"/>
      <c r="G422" s="2"/>
      <c r="H422" s="2" t="s">
        <v>104</v>
      </c>
      <c r="J422" s="2"/>
      <c r="K422" s="2"/>
      <c r="L422" s="2"/>
      <c r="M422" s="2"/>
      <c r="N422" s="2"/>
      <c r="O422" s="2"/>
      <c r="P422" s="2"/>
    </row>
    <row r="423" spans="2:16" x14ac:dyDescent="0.2">
      <c r="B423" s="9"/>
      <c r="C423" s="2" t="s">
        <v>105</v>
      </c>
      <c r="D423" s="2"/>
      <c r="E423" s="2"/>
      <c r="F423" s="2"/>
      <c r="G423" s="2"/>
      <c r="H423" s="2"/>
      <c r="J423" s="2"/>
      <c r="K423" s="2"/>
      <c r="L423" s="2"/>
      <c r="M423" s="2"/>
      <c r="N423" s="2"/>
      <c r="O423" s="2"/>
      <c r="P423" s="2"/>
    </row>
    <row r="424" spans="2:16" x14ac:dyDescent="0.2">
      <c r="B424" s="9"/>
      <c r="C424" s="2" t="s">
        <v>106</v>
      </c>
      <c r="D424" s="2"/>
      <c r="E424" s="2"/>
      <c r="F424" s="2"/>
      <c r="G424" s="2"/>
      <c r="H424" s="2"/>
      <c r="J424" s="2"/>
      <c r="K424" s="2"/>
      <c r="L424" s="2"/>
      <c r="M424" s="2"/>
      <c r="N424" s="2"/>
      <c r="O424" s="2"/>
      <c r="P424" s="2"/>
    </row>
    <row r="425" spans="2:16" x14ac:dyDescent="0.2">
      <c r="B425" s="9"/>
      <c r="C425" s="2" t="s">
        <v>107</v>
      </c>
      <c r="D425" s="2"/>
      <c r="E425" s="2"/>
      <c r="F425" s="2"/>
      <c r="G425" s="2"/>
      <c r="H425" s="2"/>
      <c r="J425" s="2"/>
      <c r="K425" s="2"/>
      <c r="L425" s="2"/>
      <c r="M425" s="2"/>
      <c r="N425" s="2"/>
      <c r="O425" s="2"/>
      <c r="P425" s="2"/>
    </row>
    <row r="426" spans="2:16" x14ac:dyDescent="0.2">
      <c r="B426" s="9"/>
      <c r="C426" s="17" t="s">
        <v>108</v>
      </c>
      <c r="D426" s="2"/>
      <c r="E426" s="2"/>
      <c r="F426" s="2"/>
      <c r="G426" s="2"/>
      <c r="H426" s="2"/>
      <c r="J426" s="2"/>
      <c r="K426" s="2"/>
      <c r="L426" s="2"/>
      <c r="M426" s="2"/>
      <c r="N426" s="2"/>
      <c r="O426" s="2"/>
      <c r="P426" s="2"/>
    </row>
    <row r="427" spans="2:16" x14ac:dyDescent="0.2">
      <c r="B427" s="9"/>
    </row>
    <row r="428" spans="2:16" x14ac:dyDescent="0.2">
      <c r="B428" s="9"/>
    </row>
    <row r="429" spans="2:16" x14ac:dyDescent="0.2">
      <c r="B429" s="9"/>
    </row>
    <row r="430" spans="2:16" x14ac:dyDescent="0.2">
      <c r="B430" s="9"/>
    </row>
    <row r="431" spans="2:16" x14ac:dyDescent="0.2">
      <c r="B431" s="9"/>
    </row>
    <row r="432" spans="2:16" x14ac:dyDescent="0.2">
      <c r="B432" s="9"/>
    </row>
    <row r="433" spans="2:2" x14ac:dyDescent="0.2">
      <c r="B433" s="9"/>
    </row>
    <row r="434" spans="2:2" x14ac:dyDescent="0.2">
      <c r="B434" s="9"/>
    </row>
    <row r="435" spans="2:2" x14ac:dyDescent="0.2">
      <c r="B435" s="9"/>
    </row>
    <row r="436" spans="2:2" x14ac:dyDescent="0.2">
      <c r="B436" s="9"/>
    </row>
    <row r="437" spans="2:2" x14ac:dyDescent="0.2">
      <c r="B437" s="9"/>
    </row>
    <row r="438" spans="2:2" x14ac:dyDescent="0.2">
      <c r="B438" s="9"/>
    </row>
    <row r="439" spans="2:2" x14ac:dyDescent="0.2">
      <c r="B439" s="9"/>
    </row>
    <row r="440" spans="2:2" x14ac:dyDescent="0.2">
      <c r="B440" s="9"/>
    </row>
    <row r="441" spans="2:2" x14ac:dyDescent="0.2">
      <c r="B441" s="9"/>
    </row>
    <row r="442" spans="2:2" x14ac:dyDescent="0.2">
      <c r="B442" s="9"/>
    </row>
    <row r="443" spans="2:2" x14ac:dyDescent="0.2">
      <c r="B443" s="9"/>
    </row>
    <row r="444" spans="2:2" x14ac:dyDescent="0.2">
      <c r="B444" s="9"/>
    </row>
    <row r="445" spans="2:2" x14ac:dyDescent="0.2">
      <c r="B445" s="9"/>
    </row>
    <row r="446" spans="2:2" x14ac:dyDescent="0.2">
      <c r="B446" s="9"/>
    </row>
    <row r="447" spans="2:2" x14ac:dyDescent="0.2">
      <c r="B447" s="9"/>
    </row>
    <row r="448" spans="2:2" x14ac:dyDescent="0.2">
      <c r="B448" s="9"/>
    </row>
    <row r="449" spans="2:2" x14ac:dyDescent="0.2">
      <c r="B449" s="9"/>
    </row>
    <row r="450" spans="2:2" x14ac:dyDescent="0.2">
      <c r="B450" s="9"/>
    </row>
    <row r="451" spans="2:2" x14ac:dyDescent="0.2">
      <c r="B451" s="9"/>
    </row>
    <row r="452" spans="2:2" x14ac:dyDescent="0.2">
      <c r="B452" s="9"/>
    </row>
    <row r="453" spans="2:2" x14ac:dyDescent="0.2">
      <c r="B453" s="9"/>
    </row>
    <row r="454" spans="2:2" x14ac:dyDescent="0.2">
      <c r="B454" s="9"/>
    </row>
    <row r="455" spans="2:2" x14ac:dyDescent="0.2">
      <c r="B455" s="9"/>
    </row>
    <row r="456" spans="2:2" x14ac:dyDescent="0.2">
      <c r="B456" s="9"/>
    </row>
    <row r="457" spans="2:2" x14ac:dyDescent="0.2">
      <c r="B457" s="9"/>
    </row>
    <row r="458" spans="2:2" x14ac:dyDescent="0.2">
      <c r="B458" s="9"/>
    </row>
    <row r="459" spans="2:2" x14ac:dyDescent="0.2">
      <c r="B459" s="9"/>
    </row>
    <row r="460" spans="2:2" x14ac:dyDescent="0.2">
      <c r="B460" s="9"/>
    </row>
    <row r="461" spans="2:2" x14ac:dyDescent="0.2">
      <c r="B461" s="9"/>
    </row>
    <row r="462" spans="2:2" x14ac:dyDescent="0.2">
      <c r="B462" s="9"/>
    </row>
    <row r="463" spans="2:2" x14ac:dyDescent="0.2">
      <c r="B463" s="9"/>
    </row>
    <row r="464" spans="2:2" x14ac:dyDescent="0.2">
      <c r="B464" s="9"/>
    </row>
    <row r="465" spans="2:2" x14ac:dyDescent="0.2">
      <c r="B465" s="9"/>
    </row>
    <row r="466" spans="2:2" x14ac:dyDescent="0.2">
      <c r="B466" s="9"/>
    </row>
    <row r="467" spans="2:2" x14ac:dyDescent="0.2">
      <c r="B467" s="9"/>
    </row>
    <row r="468" spans="2:2" x14ac:dyDescent="0.2">
      <c r="B468" s="9"/>
    </row>
    <row r="469" spans="2:2" x14ac:dyDescent="0.2">
      <c r="B469" s="9"/>
    </row>
    <row r="470" spans="2:2" x14ac:dyDescent="0.2">
      <c r="B470" s="9"/>
    </row>
    <row r="471" spans="2:2" x14ac:dyDescent="0.2">
      <c r="B471" s="9"/>
    </row>
    <row r="472" spans="2:2" x14ac:dyDescent="0.2">
      <c r="B472" s="9"/>
    </row>
    <row r="473" spans="2:2" x14ac:dyDescent="0.2">
      <c r="B473" s="9"/>
    </row>
    <row r="474" spans="2:2" x14ac:dyDescent="0.2">
      <c r="B474" s="9"/>
    </row>
    <row r="475" spans="2:2" x14ac:dyDescent="0.2">
      <c r="B475" s="9"/>
    </row>
    <row r="476" spans="2:2" x14ac:dyDescent="0.2">
      <c r="B476" s="9"/>
    </row>
    <row r="477" spans="2:2" x14ac:dyDescent="0.2">
      <c r="B477" s="9"/>
    </row>
    <row r="478" spans="2:2" x14ac:dyDescent="0.2">
      <c r="B478" s="9"/>
    </row>
    <row r="479" spans="2:2" x14ac:dyDescent="0.2">
      <c r="B479" s="9"/>
    </row>
    <row r="480" spans="2:2" x14ac:dyDescent="0.2">
      <c r="B480" s="9"/>
    </row>
    <row r="481" spans="2:2" x14ac:dyDescent="0.2">
      <c r="B481" s="9"/>
    </row>
    <row r="482" spans="2:2" x14ac:dyDescent="0.2">
      <c r="B482" s="9"/>
    </row>
    <row r="483" spans="2:2" x14ac:dyDescent="0.2">
      <c r="B483" s="9"/>
    </row>
    <row r="484" spans="2:2" x14ac:dyDescent="0.2">
      <c r="B484" s="9"/>
    </row>
    <row r="485" spans="2:2" x14ac:dyDescent="0.2">
      <c r="B485" s="9"/>
    </row>
    <row r="486" spans="2:2" x14ac:dyDescent="0.2">
      <c r="B486" s="9"/>
    </row>
    <row r="487" spans="2:2" x14ac:dyDescent="0.2">
      <c r="B487" s="9"/>
    </row>
    <row r="488" spans="2:2" x14ac:dyDescent="0.2">
      <c r="B488" s="9"/>
    </row>
    <row r="489" spans="2:2" x14ac:dyDescent="0.2">
      <c r="B489" s="9"/>
    </row>
    <row r="490" spans="2:2" x14ac:dyDescent="0.2">
      <c r="B490" s="9"/>
    </row>
    <row r="491" spans="2:2" x14ac:dyDescent="0.2">
      <c r="B491" s="9"/>
    </row>
    <row r="492" spans="2:2" x14ac:dyDescent="0.2">
      <c r="B492" s="9"/>
    </row>
    <row r="493" spans="2:2" x14ac:dyDescent="0.2">
      <c r="B493" s="9"/>
    </row>
    <row r="494" spans="2:2" x14ac:dyDescent="0.2">
      <c r="B494" s="9"/>
    </row>
    <row r="495" spans="2:2" x14ac:dyDescent="0.2">
      <c r="B495" s="9"/>
    </row>
    <row r="496" spans="2:2" x14ac:dyDescent="0.2">
      <c r="B496" s="9"/>
    </row>
    <row r="497" spans="2:2" x14ac:dyDescent="0.2">
      <c r="B497" s="9"/>
    </row>
    <row r="498" spans="2:2" x14ac:dyDescent="0.2">
      <c r="B498" s="9"/>
    </row>
    <row r="499" spans="2:2" x14ac:dyDescent="0.2">
      <c r="B499" s="9"/>
    </row>
    <row r="500" spans="2:2" x14ac:dyDescent="0.2">
      <c r="B500" s="9"/>
    </row>
    <row r="501" spans="2:2" x14ac:dyDescent="0.2">
      <c r="B501" s="9"/>
    </row>
    <row r="502" spans="2:2" x14ac:dyDescent="0.2">
      <c r="B502" s="9"/>
    </row>
    <row r="503" spans="2:2" x14ac:dyDescent="0.2">
      <c r="B503" s="9"/>
    </row>
    <row r="504" spans="2:2" x14ac:dyDescent="0.2">
      <c r="B504" s="9"/>
    </row>
    <row r="505" spans="2:2" x14ac:dyDescent="0.2">
      <c r="B505" s="9"/>
    </row>
    <row r="506" spans="2:2" x14ac:dyDescent="0.2">
      <c r="B506" s="9"/>
    </row>
    <row r="507" spans="2:2" x14ac:dyDescent="0.2">
      <c r="B507" s="9"/>
    </row>
    <row r="508" spans="2:2" x14ac:dyDescent="0.2">
      <c r="B508" s="9"/>
    </row>
    <row r="509" spans="2:2" x14ac:dyDescent="0.2">
      <c r="B509" s="9"/>
    </row>
    <row r="510" spans="2:2" x14ac:dyDescent="0.2">
      <c r="B510" s="9"/>
    </row>
    <row r="511" spans="2:2" x14ac:dyDescent="0.2">
      <c r="B511" s="9"/>
    </row>
    <row r="512" spans="2:2" x14ac:dyDescent="0.2">
      <c r="B512" s="9"/>
    </row>
    <row r="513" spans="2:2" x14ac:dyDescent="0.2">
      <c r="B513" s="9"/>
    </row>
    <row r="514" spans="2:2" x14ac:dyDescent="0.2">
      <c r="B514" s="9"/>
    </row>
    <row r="515" spans="2:2" x14ac:dyDescent="0.2">
      <c r="B515" s="9"/>
    </row>
    <row r="516" spans="2:2" x14ac:dyDescent="0.2">
      <c r="B516" s="9"/>
    </row>
    <row r="517" spans="2:2" x14ac:dyDescent="0.2">
      <c r="B517" s="9"/>
    </row>
    <row r="518" spans="2:2" x14ac:dyDescent="0.2">
      <c r="B518" s="9"/>
    </row>
    <row r="519" spans="2:2" x14ac:dyDescent="0.2">
      <c r="B519" s="9"/>
    </row>
    <row r="520" spans="2:2" x14ac:dyDescent="0.2">
      <c r="B520" s="9"/>
    </row>
    <row r="521" spans="2:2" x14ac:dyDescent="0.2">
      <c r="B521" s="9"/>
    </row>
    <row r="522" spans="2:2" x14ac:dyDescent="0.2">
      <c r="B522" s="9"/>
    </row>
    <row r="523" spans="2:2" x14ac:dyDescent="0.2">
      <c r="B523" s="9"/>
    </row>
    <row r="524" spans="2:2" x14ac:dyDescent="0.2">
      <c r="B524" s="9"/>
    </row>
    <row r="525" spans="2:2" x14ac:dyDescent="0.2">
      <c r="B525" s="9"/>
    </row>
    <row r="526" spans="2:2" x14ac:dyDescent="0.2">
      <c r="B526" s="9"/>
    </row>
    <row r="527" spans="2:2" x14ac:dyDescent="0.2">
      <c r="B527" s="9"/>
    </row>
    <row r="528" spans="2:2" x14ac:dyDescent="0.2">
      <c r="B528" s="9"/>
    </row>
    <row r="529" spans="2:2" x14ac:dyDescent="0.2">
      <c r="B529" s="9"/>
    </row>
    <row r="530" spans="2:2" x14ac:dyDescent="0.2">
      <c r="B530" s="9"/>
    </row>
    <row r="531" spans="2:2" x14ac:dyDescent="0.2">
      <c r="B531" s="9"/>
    </row>
    <row r="532" spans="2:2" x14ac:dyDescent="0.2">
      <c r="B532" s="9"/>
    </row>
    <row r="533" spans="2:2" x14ac:dyDescent="0.2">
      <c r="B533" s="9"/>
    </row>
    <row r="534" spans="2:2" x14ac:dyDescent="0.2">
      <c r="B534" s="9"/>
    </row>
    <row r="535" spans="2:2" x14ac:dyDescent="0.2">
      <c r="B535" s="9"/>
    </row>
    <row r="536" spans="2:2" x14ac:dyDescent="0.2">
      <c r="B536" s="9"/>
    </row>
    <row r="537" spans="2:2" x14ac:dyDescent="0.2">
      <c r="B537" s="9"/>
    </row>
    <row r="538" spans="2:2" x14ac:dyDescent="0.2">
      <c r="B538" s="9"/>
    </row>
    <row r="539" spans="2:2" x14ac:dyDescent="0.2">
      <c r="B539" s="9"/>
    </row>
    <row r="540" spans="2:2" x14ac:dyDescent="0.2">
      <c r="B540" s="9"/>
    </row>
    <row r="541" spans="2:2" x14ac:dyDescent="0.2">
      <c r="B541" s="9"/>
    </row>
    <row r="542" spans="2:2" x14ac:dyDescent="0.2">
      <c r="B542" s="9"/>
    </row>
    <row r="543" spans="2:2" x14ac:dyDescent="0.2">
      <c r="B543" s="9"/>
    </row>
    <row r="544" spans="2:2" x14ac:dyDescent="0.2">
      <c r="B544" s="9"/>
    </row>
    <row r="545" spans="2:2" x14ac:dyDescent="0.2">
      <c r="B545" s="9"/>
    </row>
    <row r="546" spans="2:2" x14ac:dyDescent="0.2">
      <c r="B546" s="9"/>
    </row>
    <row r="547" spans="2:2" x14ac:dyDescent="0.2">
      <c r="B547" s="9"/>
    </row>
    <row r="548" spans="2:2" x14ac:dyDescent="0.2">
      <c r="B548" s="9"/>
    </row>
    <row r="549" spans="2:2" x14ac:dyDescent="0.2">
      <c r="B549" s="9"/>
    </row>
    <row r="550" spans="2:2" x14ac:dyDescent="0.2">
      <c r="B550" s="9"/>
    </row>
    <row r="551" spans="2:2" x14ac:dyDescent="0.2">
      <c r="B551" s="9"/>
    </row>
    <row r="552" spans="2:2" x14ac:dyDescent="0.2">
      <c r="B552" s="9"/>
    </row>
    <row r="553" spans="2:2" x14ac:dyDescent="0.2">
      <c r="B553" s="9"/>
    </row>
    <row r="554" spans="2:2" x14ac:dyDescent="0.2">
      <c r="B554" s="9"/>
    </row>
    <row r="555" spans="2:2" x14ac:dyDescent="0.2">
      <c r="B555" s="9"/>
    </row>
    <row r="556" spans="2:2" x14ac:dyDescent="0.2">
      <c r="B556" s="9"/>
    </row>
    <row r="557" spans="2:2" x14ac:dyDescent="0.2">
      <c r="B557" s="9"/>
    </row>
    <row r="558" spans="2:2" x14ac:dyDescent="0.2">
      <c r="B558" s="9"/>
    </row>
    <row r="559" spans="2:2" x14ac:dyDescent="0.2">
      <c r="B559" s="9"/>
    </row>
    <row r="560" spans="2:2" x14ac:dyDescent="0.2">
      <c r="B560" s="9"/>
    </row>
    <row r="561" spans="2:2" x14ac:dyDescent="0.2">
      <c r="B561" s="9"/>
    </row>
    <row r="562" spans="2:2" x14ac:dyDescent="0.2">
      <c r="B562" s="9"/>
    </row>
    <row r="563" spans="2:2" x14ac:dyDescent="0.2">
      <c r="B563" s="9"/>
    </row>
    <row r="564" spans="2:2" x14ac:dyDescent="0.2">
      <c r="B564" s="9"/>
    </row>
    <row r="565" spans="2:2" x14ac:dyDescent="0.2">
      <c r="B565" s="9"/>
    </row>
    <row r="566" spans="2:2" x14ac:dyDescent="0.2">
      <c r="B566" s="9"/>
    </row>
    <row r="567" spans="2:2" x14ac:dyDescent="0.2">
      <c r="B567" s="9"/>
    </row>
    <row r="568" spans="2:2" x14ac:dyDescent="0.2">
      <c r="B568" s="9"/>
    </row>
    <row r="569" spans="2:2" x14ac:dyDescent="0.2">
      <c r="B569" s="9"/>
    </row>
    <row r="570" spans="2:2" x14ac:dyDescent="0.2">
      <c r="B570" s="9"/>
    </row>
    <row r="571" spans="2:2" x14ac:dyDescent="0.2">
      <c r="B571" s="9"/>
    </row>
    <row r="572" spans="2:2" x14ac:dyDescent="0.2">
      <c r="B572" s="9"/>
    </row>
    <row r="573" spans="2:2" x14ac:dyDescent="0.2">
      <c r="B573" s="9"/>
    </row>
    <row r="574" spans="2:2" x14ac:dyDescent="0.2">
      <c r="B574" s="9"/>
    </row>
    <row r="575" spans="2:2" x14ac:dyDescent="0.2">
      <c r="B575" s="9"/>
    </row>
    <row r="576" spans="2:2" x14ac:dyDescent="0.2">
      <c r="B576" s="9"/>
    </row>
    <row r="577" spans="2:2" x14ac:dyDescent="0.2">
      <c r="B577" s="9"/>
    </row>
    <row r="578" spans="2:2" x14ac:dyDescent="0.2">
      <c r="B578" s="9"/>
    </row>
    <row r="579" spans="2:2" x14ac:dyDescent="0.2">
      <c r="B579" s="9"/>
    </row>
    <row r="580" spans="2:2" x14ac:dyDescent="0.2">
      <c r="B580" s="9"/>
    </row>
    <row r="581" spans="2:2" x14ac:dyDescent="0.2">
      <c r="B581" s="9"/>
    </row>
    <row r="582" spans="2:2" x14ac:dyDescent="0.2">
      <c r="B582" s="9"/>
    </row>
    <row r="583" spans="2:2" x14ac:dyDescent="0.2">
      <c r="B583" s="9"/>
    </row>
    <row r="584" spans="2:2" x14ac:dyDescent="0.2">
      <c r="B584" s="9"/>
    </row>
    <row r="585" spans="2:2" x14ac:dyDescent="0.2">
      <c r="B585" s="9"/>
    </row>
    <row r="586" spans="2:2" x14ac:dyDescent="0.2">
      <c r="B586" s="9"/>
    </row>
    <row r="587" spans="2:2" x14ac:dyDescent="0.2">
      <c r="B587" s="9"/>
    </row>
    <row r="588" spans="2:2" x14ac:dyDescent="0.2">
      <c r="B588" s="9"/>
    </row>
    <row r="589" spans="2:2" x14ac:dyDescent="0.2">
      <c r="B589" s="9"/>
    </row>
    <row r="590" spans="2:2" x14ac:dyDescent="0.2">
      <c r="B590" s="9"/>
    </row>
    <row r="591" spans="2:2" x14ac:dyDescent="0.2">
      <c r="B591" s="9"/>
    </row>
    <row r="592" spans="2:2" x14ac:dyDescent="0.2">
      <c r="B592" s="9"/>
    </row>
    <row r="593" spans="2:2" x14ac:dyDescent="0.2">
      <c r="B593" s="9"/>
    </row>
    <row r="594" spans="2:2" x14ac:dyDescent="0.2">
      <c r="B594" s="9"/>
    </row>
    <row r="595" spans="2:2" x14ac:dyDescent="0.2">
      <c r="B595" s="9"/>
    </row>
    <row r="596" spans="2:2" x14ac:dyDescent="0.2">
      <c r="B596" s="9"/>
    </row>
    <row r="597" spans="2:2" x14ac:dyDescent="0.2">
      <c r="B597" s="9"/>
    </row>
    <row r="598" spans="2:2" x14ac:dyDescent="0.2">
      <c r="B598" s="9"/>
    </row>
    <row r="599" spans="2:2" x14ac:dyDescent="0.2">
      <c r="B599" s="9"/>
    </row>
    <row r="600" spans="2:2" x14ac:dyDescent="0.2">
      <c r="B600" s="9"/>
    </row>
    <row r="601" spans="2:2" x14ac:dyDescent="0.2">
      <c r="B601" s="9"/>
    </row>
    <row r="602" spans="2:2" x14ac:dyDescent="0.2">
      <c r="B602" s="9"/>
    </row>
    <row r="603" spans="2:2" x14ac:dyDescent="0.2">
      <c r="B603" s="9"/>
    </row>
    <row r="604" spans="2:2" x14ac:dyDescent="0.2">
      <c r="B604" s="9"/>
    </row>
    <row r="605" spans="2:2" x14ac:dyDescent="0.2">
      <c r="B605" s="9"/>
    </row>
    <row r="606" spans="2:2" x14ac:dyDescent="0.2">
      <c r="B606" s="9"/>
    </row>
    <row r="607" spans="2:2" x14ac:dyDescent="0.2">
      <c r="B607" s="9"/>
    </row>
    <row r="608" spans="2:2" x14ac:dyDescent="0.2">
      <c r="B608" s="9"/>
    </row>
    <row r="609" spans="2:2" x14ac:dyDescent="0.2">
      <c r="B609" s="9"/>
    </row>
    <row r="610" spans="2:2" x14ac:dyDescent="0.2">
      <c r="B610" s="9"/>
    </row>
    <row r="611" spans="2:2" x14ac:dyDescent="0.2">
      <c r="B611" s="9"/>
    </row>
    <row r="612" spans="2:2" x14ac:dyDescent="0.2">
      <c r="B612" s="9"/>
    </row>
    <row r="613" spans="2:2" x14ac:dyDescent="0.2">
      <c r="B613" s="9"/>
    </row>
    <row r="614" spans="2:2" x14ac:dyDescent="0.2">
      <c r="B614" s="9"/>
    </row>
    <row r="615" spans="2:2" x14ac:dyDescent="0.2">
      <c r="B615" s="9"/>
    </row>
    <row r="616" spans="2:2" x14ac:dyDescent="0.2">
      <c r="B616" s="9"/>
    </row>
    <row r="617" spans="2:2" x14ac:dyDescent="0.2">
      <c r="B617" s="9"/>
    </row>
    <row r="618" spans="2:2" x14ac:dyDescent="0.2">
      <c r="B618" s="9"/>
    </row>
    <row r="619" spans="2:2" x14ac:dyDescent="0.2">
      <c r="B619" s="9"/>
    </row>
    <row r="620" spans="2:2" x14ac:dyDescent="0.2">
      <c r="B620" s="9"/>
    </row>
    <row r="621" spans="2:2" x14ac:dyDescent="0.2">
      <c r="B621" s="9"/>
    </row>
    <row r="622" spans="2:2" x14ac:dyDescent="0.2">
      <c r="B622" s="9"/>
    </row>
    <row r="623" spans="2:2" x14ac:dyDescent="0.2">
      <c r="B623" s="9"/>
    </row>
    <row r="624" spans="2:2" x14ac:dyDescent="0.2">
      <c r="B624" s="9"/>
    </row>
    <row r="625" spans="2:2" x14ac:dyDescent="0.2">
      <c r="B625" s="9"/>
    </row>
    <row r="626" spans="2:2" x14ac:dyDescent="0.2">
      <c r="B626" s="9"/>
    </row>
    <row r="627" spans="2:2" x14ac:dyDescent="0.2">
      <c r="B627" s="9"/>
    </row>
    <row r="628" spans="2:2" x14ac:dyDescent="0.2">
      <c r="B628" s="9"/>
    </row>
    <row r="629" spans="2:2" x14ac:dyDescent="0.2">
      <c r="B629" s="9"/>
    </row>
    <row r="630" spans="2:2" x14ac:dyDescent="0.2">
      <c r="B630" s="9"/>
    </row>
    <row r="631" spans="2:2" x14ac:dyDescent="0.2">
      <c r="B631" s="9"/>
    </row>
    <row r="632" spans="2:2" x14ac:dyDescent="0.2">
      <c r="B632" s="9"/>
    </row>
    <row r="633" spans="2:2" x14ac:dyDescent="0.2">
      <c r="B633" s="9"/>
    </row>
    <row r="634" spans="2:2" x14ac:dyDescent="0.2">
      <c r="B634" s="9"/>
    </row>
    <row r="635" spans="2:2" x14ac:dyDescent="0.2">
      <c r="B635" s="9"/>
    </row>
    <row r="636" spans="2:2" x14ac:dyDescent="0.2">
      <c r="B636" s="9"/>
    </row>
    <row r="637" spans="2:2" x14ac:dyDescent="0.2">
      <c r="B637" s="9"/>
    </row>
    <row r="638" spans="2:2" x14ac:dyDescent="0.2">
      <c r="B638" s="9"/>
    </row>
    <row r="639" spans="2:2" x14ac:dyDescent="0.2">
      <c r="B639" s="9"/>
    </row>
    <row r="640" spans="2:2" x14ac:dyDescent="0.2">
      <c r="B640" s="9"/>
    </row>
    <row r="641" spans="2:2" x14ac:dyDescent="0.2">
      <c r="B641" s="9"/>
    </row>
    <row r="642" spans="2:2" x14ac:dyDescent="0.2">
      <c r="B642" s="9"/>
    </row>
    <row r="643" spans="2:2" x14ac:dyDescent="0.2">
      <c r="B643" s="9"/>
    </row>
    <row r="644" spans="2:2" x14ac:dyDescent="0.2">
      <c r="B644" s="9"/>
    </row>
    <row r="645" spans="2:2" x14ac:dyDescent="0.2">
      <c r="B645" s="9"/>
    </row>
    <row r="646" spans="2:2" x14ac:dyDescent="0.2">
      <c r="B646" s="9"/>
    </row>
    <row r="647" spans="2:2" x14ac:dyDescent="0.2">
      <c r="B647" s="9"/>
    </row>
    <row r="648" spans="2:2" x14ac:dyDescent="0.2">
      <c r="B648" s="9"/>
    </row>
    <row r="649" spans="2:2" x14ac:dyDescent="0.2">
      <c r="B649" s="9"/>
    </row>
    <row r="650" spans="2:2" x14ac:dyDescent="0.2">
      <c r="B650" s="9"/>
    </row>
    <row r="651" spans="2:2" x14ac:dyDescent="0.2">
      <c r="B651" s="9"/>
    </row>
    <row r="652" spans="2:2" x14ac:dyDescent="0.2">
      <c r="B652" s="9"/>
    </row>
    <row r="653" spans="2:2" x14ac:dyDescent="0.2">
      <c r="B653" s="9"/>
    </row>
    <row r="654" spans="2:2" x14ac:dyDescent="0.2">
      <c r="B654" s="9"/>
    </row>
    <row r="655" spans="2:2" x14ac:dyDescent="0.2">
      <c r="B655" s="9"/>
    </row>
    <row r="656" spans="2:2" x14ac:dyDescent="0.2">
      <c r="B656" s="9"/>
    </row>
    <row r="657" spans="2:2" x14ac:dyDescent="0.2">
      <c r="B657" s="9"/>
    </row>
    <row r="658" spans="2:2" x14ac:dyDescent="0.2">
      <c r="B658" s="9"/>
    </row>
    <row r="659" spans="2:2" x14ac:dyDescent="0.2">
      <c r="B659" s="9"/>
    </row>
    <row r="660" spans="2:2" x14ac:dyDescent="0.2">
      <c r="B660" s="9"/>
    </row>
    <row r="661" spans="2:2" x14ac:dyDescent="0.2">
      <c r="B661" s="9"/>
    </row>
    <row r="662" spans="2:2" x14ac:dyDescent="0.2">
      <c r="B662" s="9"/>
    </row>
    <row r="663" spans="2:2" x14ac:dyDescent="0.2">
      <c r="B663" s="9"/>
    </row>
    <row r="664" spans="2:2" x14ac:dyDescent="0.2">
      <c r="B664" s="9"/>
    </row>
    <row r="665" spans="2:2" x14ac:dyDescent="0.2">
      <c r="B665" s="9"/>
    </row>
  </sheetData>
  <sheetProtection formatCells="0" formatRows="0" insertRows="0" insertHyperlinks="0" deleteRows="0" selectLockedCells="1"/>
  <mergeCells count="116">
    <mergeCell ref="N275:P275"/>
    <mergeCell ref="J24:P24"/>
    <mergeCell ref="J25:P25"/>
    <mergeCell ref="J26:P26"/>
    <mergeCell ref="J27:P27"/>
    <mergeCell ref="J28:P28"/>
    <mergeCell ref="N270:P270"/>
    <mergeCell ref="N271:P271"/>
    <mergeCell ref="N272:P272"/>
    <mergeCell ref="N273:P273"/>
    <mergeCell ref="N274:P274"/>
    <mergeCell ref="N265:P265"/>
    <mergeCell ref="N266:P266"/>
    <mergeCell ref="N267:P267"/>
    <mergeCell ref="N268:P268"/>
    <mergeCell ref="N269:P269"/>
    <mergeCell ref="N260:P260"/>
    <mergeCell ref="N261:P261"/>
    <mergeCell ref="N262:P262"/>
    <mergeCell ref="N263:P263"/>
    <mergeCell ref="N264:P264"/>
    <mergeCell ref="N255:P255"/>
    <mergeCell ref="N256:P256"/>
    <mergeCell ref="N257:P257"/>
    <mergeCell ref="B219:P219"/>
    <mergeCell ref="N221:P221"/>
    <mergeCell ref="B17:C17"/>
    <mergeCell ref="D17:E17"/>
    <mergeCell ref="B20:P20"/>
    <mergeCell ref="J22:P22"/>
    <mergeCell ref="J23:P23"/>
    <mergeCell ref="N235:P235"/>
    <mergeCell ref="N222:P222"/>
    <mergeCell ref="N223:P223"/>
    <mergeCell ref="N224:P224"/>
    <mergeCell ref="N225:P225"/>
    <mergeCell ref="N226:P226"/>
    <mergeCell ref="N227:P227"/>
    <mergeCell ref="N228:P228"/>
    <mergeCell ref="N229:P229"/>
    <mergeCell ref="N230:P230"/>
    <mergeCell ref="N231:P231"/>
    <mergeCell ref="B233:P233"/>
    <mergeCell ref="J94:P94"/>
    <mergeCell ref="B1:Q1"/>
    <mergeCell ref="B2:Q2"/>
    <mergeCell ref="B4:C4"/>
    <mergeCell ref="B5:C5"/>
    <mergeCell ref="G5:J5"/>
    <mergeCell ref="B6:C6"/>
    <mergeCell ref="D6:O6"/>
    <mergeCell ref="B8:P8"/>
    <mergeCell ref="B10:C10"/>
    <mergeCell ref="D10:E10"/>
    <mergeCell ref="N246:P246"/>
    <mergeCell ref="N276:P276"/>
    <mergeCell ref="N251:P251"/>
    <mergeCell ref="N252:P252"/>
    <mergeCell ref="N253:P253"/>
    <mergeCell ref="N254:P254"/>
    <mergeCell ref="N258:P258"/>
    <mergeCell ref="N259:P259"/>
    <mergeCell ref="B11:C11"/>
    <mergeCell ref="D11:E11"/>
    <mergeCell ref="B13:C13"/>
    <mergeCell ref="D13:E13"/>
    <mergeCell ref="G13:O16"/>
    <mergeCell ref="B14:C14"/>
    <mergeCell ref="D14:E14"/>
    <mergeCell ref="B15:C15"/>
    <mergeCell ref="D15:E15"/>
    <mergeCell ref="B16:C16"/>
    <mergeCell ref="D16:E16"/>
    <mergeCell ref="N248:P248"/>
    <mergeCell ref="N249:P249"/>
    <mergeCell ref="N250:P250"/>
    <mergeCell ref="B12:C12"/>
    <mergeCell ref="D12:E12"/>
    <mergeCell ref="N236:P236"/>
    <mergeCell ref="N247:P247"/>
    <mergeCell ref="N289:P289"/>
    <mergeCell ref="N278:P278"/>
    <mergeCell ref="N279:P279"/>
    <mergeCell ref="N280:P280"/>
    <mergeCell ref="N281:P281"/>
    <mergeCell ref="N282:P282"/>
    <mergeCell ref="N283:P283"/>
    <mergeCell ref="N284:P284"/>
    <mergeCell ref="N285:P285"/>
    <mergeCell ref="N286:P286"/>
    <mergeCell ref="N287:P287"/>
    <mergeCell ref="N288:P288"/>
    <mergeCell ref="N277:P277"/>
    <mergeCell ref="N237:P237"/>
    <mergeCell ref="N238:P238"/>
    <mergeCell ref="N239:P239"/>
    <mergeCell ref="N240:P240"/>
    <mergeCell ref="N241:P241"/>
    <mergeCell ref="N242:P242"/>
    <mergeCell ref="N243:P243"/>
    <mergeCell ref="N244:P244"/>
    <mergeCell ref="N245:P245"/>
    <mergeCell ref="N355:P355"/>
    <mergeCell ref="N356:P356"/>
    <mergeCell ref="N357:P357"/>
    <mergeCell ref="N358:P358"/>
    <mergeCell ref="N359:P359"/>
    <mergeCell ref="N354:P354"/>
    <mergeCell ref="N290:P290"/>
    <mergeCell ref="N291:P291"/>
    <mergeCell ref="N292:P292"/>
    <mergeCell ref="N293:P293"/>
    <mergeCell ref="N294:P294"/>
    <mergeCell ref="N351:P351"/>
    <mergeCell ref="N352:P352"/>
    <mergeCell ref="N353:P353"/>
  </mergeCells>
  <conditionalFormatting sqref="H222:H230 H237:H359">
    <cfRule type="cellIs" dxfId="6" priority="4" stopIfTrue="1" operator="equal">
      <formula>0</formula>
    </cfRule>
  </conditionalFormatting>
  <conditionalFormatting sqref="G222:G230 G237:G359">
    <cfRule type="cellIs" dxfId="5" priority="3" stopIfTrue="1" operator="equal">
      <formula>1</formula>
    </cfRule>
  </conditionalFormatting>
  <conditionalFormatting sqref="H236">
    <cfRule type="cellIs" dxfId="4" priority="2" stopIfTrue="1" operator="equal">
      <formula>0</formula>
    </cfRule>
  </conditionalFormatting>
  <conditionalFormatting sqref="G236">
    <cfRule type="cellIs" dxfId="3" priority="1" stopIfTrue="1" operator="equal">
      <formula>1</formula>
    </cfRule>
  </conditionalFormatting>
  <dataValidations count="7">
    <dataValidation type="list" allowBlank="1" showInputMessage="1" showErrorMessage="1" sqref="JH237:JH357 L236:L358 TD237:TD357 ACZ237:ACZ357 AMV237:AMV357 AWR237:AWR357 BGN237:BGN357 BQJ237:BQJ357 CAF237:CAF357 CKB237:CKB357 CTX237:CTX357 DDT237:DDT357 DNP237:DNP357 DXL237:DXL357 EHH237:EHH357 ERD237:ERD357 FAZ237:FAZ357 FKV237:FKV357 FUR237:FUR357 GEN237:GEN357 GOJ237:GOJ357 GYF237:GYF357 HIB237:HIB357 HRX237:HRX357 IBT237:IBT357 ILP237:ILP357 IVL237:IVL357 JFH237:JFH357 JPD237:JPD357 JYZ237:JYZ357 KIV237:KIV357 KSR237:KSR357 LCN237:LCN357 LMJ237:LMJ357 LWF237:LWF357 MGB237:MGB357 MPX237:MPX357 MZT237:MZT357 NJP237:NJP357 NTL237:NTL357 ODH237:ODH357 OND237:OND357 OWZ237:OWZ357 PGV237:PGV357 PQR237:PQR357 QAN237:QAN357 QKJ237:QKJ357 QUF237:QUF357 REB237:REB357 RNX237:RNX357 RXT237:RXT357 SHP237:SHP357 SRL237:SRL357 TBH237:TBH357 TLD237:TLD357 TUZ237:TUZ357 UEV237:UEV357 UOR237:UOR357 UYN237:UYN357 VIJ237:VIJ357 VSF237:VSF357 WCB237:WCB357 WLX237:WLX357 WVT237:WVT357 L65855:L65893 JH65855:JH65893 TD65855:TD65893 ACZ65855:ACZ65893 AMV65855:AMV65893 AWR65855:AWR65893 BGN65855:BGN65893 BQJ65855:BQJ65893 CAF65855:CAF65893 CKB65855:CKB65893 CTX65855:CTX65893 DDT65855:DDT65893 DNP65855:DNP65893 DXL65855:DXL65893 EHH65855:EHH65893 ERD65855:ERD65893 FAZ65855:FAZ65893 FKV65855:FKV65893 FUR65855:FUR65893 GEN65855:GEN65893 GOJ65855:GOJ65893 GYF65855:GYF65893 HIB65855:HIB65893 HRX65855:HRX65893 IBT65855:IBT65893 ILP65855:ILP65893 IVL65855:IVL65893 JFH65855:JFH65893 JPD65855:JPD65893 JYZ65855:JYZ65893 KIV65855:KIV65893 KSR65855:KSR65893 LCN65855:LCN65893 LMJ65855:LMJ65893 LWF65855:LWF65893 MGB65855:MGB65893 MPX65855:MPX65893 MZT65855:MZT65893 NJP65855:NJP65893 NTL65855:NTL65893 ODH65855:ODH65893 OND65855:OND65893 OWZ65855:OWZ65893 PGV65855:PGV65893 PQR65855:PQR65893 QAN65855:QAN65893 QKJ65855:QKJ65893 QUF65855:QUF65893 REB65855:REB65893 RNX65855:RNX65893 RXT65855:RXT65893 SHP65855:SHP65893 SRL65855:SRL65893 TBH65855:TBH65893 TLD65855:TLD65893 TUZ65855:TUZ65893 UEV65855:UEV65893 UOR65855:UOR65893 UYN65855:UYN65893 VIJ65855:VIJ65893 VSF65855:VSF65893 WCB65855:WCB65893 WLX65855:WLX65893 WVT65855:WVT65893 L131391:L131429 JH131391:JH131429 TD131391:TD131429 ACZ131391:ACZ131429 AMV131391:AMV131429 AWR131391:AWR131429 BGN131391:BGN131429 BQJ131391:BQJ131429 CAF131391:CAF131429 CKB131391:CKB131429 CTX131391:CTX131429 DDT131391:DDT131429 DNP131391:DNP131429 DXL131391:DXL131429 EHH131391:EHH131429 ERD131391:ERD131429 FAZ131391:FAZ131429 FKV131391:FKV131429 FUR131391:FUR131429 GEN131391:GEN131429 GOJ131391:GOJ131429 GYF131391:GYF131429 HIB131391:HIB131429 HRX131391:HRX131429 IBT131391:IBT131429 ILP131391:ILP131429 IVL131391:IVL131429 JFH131391:JFH131429 JPD131391:JPD131429 JYZ131391:JYZ131429 KIV131391:KIV131429 KSR131391:KSR131429 LCN131391:LCN131429 LMJ131391:LMJ131429 LWF131391:LWF131429 MGB131391:MGB131429 MPX131391:MPX131429 MZT131391:MZT131429 NJP131391:NJP131429 NTL131391:NTL131429 ODH131391:ODH131429 OND131391:OND131429 OWZ131391:OWZ131429 PGV131391:PGV131429 PQR131391:PQR131429 QAN131391:QAN131429 QKJ131391:QKJ131429 QUF131391:QUF131429 REB131391:REB131429 RNX131391:RNX131429 RXT131391:RXT131429 SHP131391:SHP131429 SRL131391:SRL131429 TBH131391:TBH131429 TLD131391:TLD131429 TUZ131391:TUZ131429 UEV131391:UEV131429 UOR131391:UOR131429 UYN131391:UYN131429 VIJ131391:VIJ131429 VSF131391:VSF131429 WCB131391:WCB131429 WLX131391:WLX131429 WVT131391:WVT131429 L196927:L196965 JH196927:JH196965 TD196927:TD196965 ACZ196927:ACZ196965 AMV196927:AMV196965 AWR196927:AWR196965 BGN196927:BGN196965 BQJ196927:BQJ196965 CAF196927:CAF196965 CKB196927:CKB196965 CTX196927:CTX196965 DDT196927:DDT196965 DNP196927:DNP196965 DXL196927:DXL196965 EHH196927:EHH196965 ERD196927:ERD196965 FAZ196927:FAZ196965 FKV196927:FKV196965 FUR196927:FUR196965 GEN196927:GEN196965 GOJ196927:GOJ196965 GYF196927:GYF196965 HIB196927:HIB196965 HRX196927:HRX196965 IBT196927:IBT196965 ILP196927:ILP196965 IVL196927:IVL196965 JFH196927:JFH196965 JPD196927:JPD196965 JYZ196927:JYZ196965 KIV196927:KIV196965 KSR196927:KSR196965 LCN196927:LCN196965 LMJ196927:LMJ196965 LWF196927:LWF196965 MGB196927:MGB196965 MPX196927:MPX196965 MZT196927:MZT196965 NJP196927:NJP196965 NTL196927:NTL196965 ODH196927:ODH196965 OND196927:OND196965 OWZ196927:OWZ196965 PGV196927:PGV196965 PQR196927:PQR196965 QAN196927:QAN196965 QKJ196927:QKJ196965 QUF196927:QUF196965 REB196927:REB196965 RNX196927:RNX196965 RXT196927:RXT196965 SHP196927:SHP196965 SRL196927:SRL196965 TBH196927:TBH196965 TLD196927:TLD196965 TUZ196927:TUZ196965 UEV196927:UEV196965 UOR196927:UOR196965 UYN196927:UYN196965 VIJ196927:VIJ196965 VSF196927:VSF196965 WCB196927:WCB196965 WLX196927:WLX196965 WVT196927:WVT196965 L262463:L262501 JH262463:JH262501 TD262463:TD262501 ACZ262463:ACZ262501 AMV262463:AMV262501 AWR262463:AWR262501 BGN262463:BGN262501 BQJ262463:BQJ262501 CAF262463:CAF262501 CKB262463:CKB262501 CTX262463:CTX262501 DDT262463:DDT262501 DNP262463:DNP262501 DXL262463:DXL262501 EHH262463:EHH262501 ERD262463:ERD262501 FAZ262463:FAZ262501 FKV262463:FKV262501 FUR262463:FUR262501 GEN262463:GEN262501 GOJ262463:GOJ262501 GYF262463:GYF262501 HIB262463:HIB262501 HRX262463:HRX262501 IBT262463:IBT262501 ILP262463:ILP262501 IVL262463:IVL262501 JFH262463:JFH262501 JPD262463:JPD262501 JYZ262463:JYZ262501 KIV262463:KIV262501 KSR262463:KSR262501 LCN262463:LCN262501 LMJ262463:LMJ262501 LWF262463:LWF262501 MGB262463:MGB262501 MPX262463:MPX262501 MZT262463:MZT262501 NJP262463:NJP262501 NTL262463:NTL262501 ODH262463:ODH262501 OND262463:OND262501 OWZ262463:OWZ262501 PGV262463:PGV262501 PQR262463:PQR262501 QAN262463:QAN262501 QKJ262463:QKJ262501 QUF262463:QUF262501 REB262463:REB262501 RNX262463:RNX262501 RXT262463:RXT262501 SHP262463:SHP262501 SRL262463:SRL262501 TBH262463:TBH262501 TLD262463:TLD262501 TUZ262463:TUZ262501 UEV262463:UEV262501 UOR262463:UOR262501 UYN262463:UYN262501 VIJ262463:VIJ262501 VSF262463:VSF262501 WCB262463:WCB262501 WLX262463:WLX262501 WVT262463:WVT262501 L327999:L328037 JH327999:JH328037 TD327999:TD328037 ACZ327999:ACZ328037 AMV327999:AMV328037 AWR327999:AWR328037 BGN327999:BGN328037 BQJ327999:BQJ328037 CAF327999:CAF328037 CKB327999:CKB328037 CTX327999:CTX328037 DDT327999:DDT328037 DNP327999:DNP328037 DXL327999:DXL328037 EHH327999:EHH328037 ERD327999:ERD328037 FAZ327999:FAZ328037 FKV327999:FKV328037 FUR327999:FUR328037 GEN327999:GEN328037 GOJ327999:GOJ328037 GYF327999:GYF328037 HIB327999:HIB328037 HRX327999:HRX328037 IBT327999:IBT328037 ILP327999:ILP328037 IVL327999:IVL328037 JFH327999:JFH328037 JPD327999:JPD328037 JYZ327999:JYZ328037 KIV327999:KIV328037 KSR327999:KSR328037 LCN327999:LCN328037 LMJ327999:LMJ328037 LWF327999:LWF328037 MGB327999:MGB328037 MPX327999:MPX328037 MZT327999:MZT328037 NJP327999:NJP328037 NTL327999:NTL328037 ODH327999:ODH328037 OND327999:OND328037 OWZ327999:OWZ328037 PGV327999:PGV328037 PQR327999:PQR328037 QAN327999:QAN328037 QKJ327999:QKJ328037 QUF327999:QUF328037 REB327999:REB328037 RNX327999:RNX328037 RXT327999:RXT328037 SHP327999:SHP328037 SRL327999:SRL328037 TBH327999:TBH328037 TLD327999:TLD328037 TUZ327999:TUZ328037 UEV327999:UEV328037 UOR327999:UOR328037 UYN327999:UYN328037 VIJ327999:VIJ328037 VSF327999:VSF328037 WCB327999:WCB328037 WLX327999:WLX328037 WVT327999:WVT328037 L393535:L393573 JH393535:JH393573 TD393535:TD393573 ACZ393535:ACZ393573 AMV393535:AMV393573 AWR393535:AWR393573 BGN393535:BGN393573 BQJ393535:BQJ393573 CAF393535:CAF393573 CKB393535:CKB393573 CTX393535:CTX393573 DDT393535:DDT393573 DNP393535:DNP393573 DXL393535:DXL393573 EHH393535:EHH393573 ERD393535:ERD393573 FAZ393535:FAZ393573 FKV393535:FKV393573 FUR393535:FUR393573 GEN393535:GEN393573 GOJ393535:GOJ393573 GYF393535:GYF393573 HIB393535:HIB393573 HRX393535:HRX393573 IBT393535:IBT393573 ILP393535:ILP393573 IVL393535:IVL393573 JFH393535:JFH393573 JPD393535:JPD393573 JYZ393535:JYZ393573 KIV393535:KIV393573 KSR393535:KSR393573 LCN393535:LCN393573 LMJ393535:LMJ393573 LWF393535:LWF393573 MGB393535:MGB393573 MPX393535:MPX393573 MZT393535:MZT393573 NJP393535:NJP393573 NTL393535:NTL393573 ODH393535:ODH393573 OND393535:OND393573 OWZ393535:OWZ393573 PGV393535:PGV393573 PQR393535:PQR393573 QAN393535:QAN393573 QKJ393535:QKJ393573 QUF393535:QUF393573 REB393535:REB393573 RNX393535:RNX393573 RXT393535:RXT393573 SHP393535:SHP393573 SRL393535:SRL393573 TBH393535:TBH393573 TLD393535:TLD393573 TUZ393535:TUZ393573 UEV393535:UEV393573 UOR393535:UOR393573 UYN393535:UYN393573 VIJ393535:VIJ393573 VSF393535:VSF393573 WCB393535:WCB393573 WLX393535:WLX393573 WVT393535:WVT393573 L459071:L459109 JH459071:JH459109 TD459071:TD459109 ACZ459071:ACZ459109 AMV459071:AMV459109 AWR459071:AWR459109 BGN459071:BGN459109 BQJ459071:BQJ459109 CAF459071:CAF459109 CKB459071:CKB459109 CTX459071:CTX459109 DDT459071:DDT459109 DNP459071:DNP459109 DXL459071:DXL459109 EHH459071:EHH459109 ERD459071:ERD459109 FAZ459071:FAZ459109 FKV459071:FKV459109 FUR459071:FUR459109 GEN459071:GEN459109 GOJ459071:GOJ459109 GYF459071:GYF459109 HIB459071:HIB459109 HRX459071:HRX459109 IBT459071:IBT459109 ILP459071:ILP459109 IVL459071:IVL459109 JFH459071:JFH459109 JPD459071:JPD459109 JYZ459071:JYZ459109 KIV459071:KIV459109 KSR459071:KSR459109 LCN459071:LCN459109 LMJ459071:LMJ459109 LWF459071:LWF459109 MGB459071:MGB459109 MPX459071:MPX459109 MZT459071:MZT459109 NJP459071:NJP459109 NTL459071:NTL459109 ODH459071:ODH459109 OND459071:OND459109 OWZ459071:OWZ459109 PGV459071:PGV459109 PQR459071:PQR459109 QAN459071:QAN459109 QKJ459071:QKJ459109 QUF459071:QUF459109 REB459071:REB459109 RNX459071:RNX459109 RXT459071:RXT459109 SHP459071:SHP459109 SRL459071:SRL459109 TBH459071:TBH459109 TLD459071:TLD459109 TUZ459071:TUZ459109 UEV459071:UEV459109 UOR459071:UOR459109 UYN459071:UYN459109 VIJ459071:VIJ459109 VSF459071:VSF459109 WCB459071:WCB459109 WLX459071:WLX459109 WVT459071:WVT459109 L524607:L524645 JH524607:JH524645 TD524607:TD524645 ACZ524607:ACZ524645 AMV524607:AMV524645 AWR524607:AWR524645 BGN524607:BGN524645 BQJ524607:BQJ524645 CAF524607:CAF524645 CKB524607:CKB524645 CTX524607:CTX524645 DDT524607:DDT524645 DNP524607:DNP524645 DXL524607:DXL524645 EHH524607:EHH524645 ERD524607:ERD524645 FAZ524607:FAZ524645 FKV524607:FKV524645 FUR524607:FUR524645 GEN524607:GEN524645 GOJ524607:GOJ524645 GYF524607:GYF524645 HIB524607:HIB524645 HRX524607:HRX524645 IBT524607:IBT524645 ILP524607:ILP524645 IVL524607:IVL524645 JFH524607:JFH524645 JPD524607:JPD524645 JYZ524607:JYZ524645 KIV524607:KIV524645 KSR524607:KSR524645 LCN524607:LCN524645 LMJ524607:LMJ524645 LWF524607:LWF524645 MGB524607:MGB524645 MPX524607:MPX524645 MZT524607:MZT524645 NJP524607:NJP524645 NTL524607:NTL524645 ODH524607:ODH524645 OND524607:OND524645 OWZ524607:OWZ524645 PGV524607:PGV524645 PQR524607:PQR524645 QAN524607:QAN524645 QKJ524607:QKJ524645 QUF524607:QUF524645 REB524607:REB524645 RNX524607:RNX524645 RXT524607:RXT524645 SHP524607:SHP524645 SRL524607:SRL524645 TBH524607:TBH524645 TLD524607:TLD524645 TUZ524607:TUZ524645 UEV524607:UEV524645 UOR524607:UOR524645 UYN524607:UYN524645 VIJ524607:VIJ524645 VSF524607:VSF524645 WCB524607:WCB524645 WLX524607:WLX524645 WVT524607:WVT524645 L590143:L590181 JH590143:JH590181 TD590143:TD590181 ACZ590143:ACZ590181 AMV590143:AMV590181 AWR590143:AWR590181 BGN590143:BGN590181 BQJ590143:BQJ590181 CAF590143:CAF590181 CKB590143:CKB590181 CTX590143:CTX590181 DDT590143:DDT590181 DNP590143:DNP590181 DXL590143:DXL590181 EHH590143:EHH590181 ERD590143:ERD590181 FAZ590143:FAZ590181 FKV590143:FKV590181 FUR590143:FUR590181 GEN590143:GEN590181 GOJ590143:GOJ590181 GYF590143:GYF590181 HIB590143:HIB590181 HRX590143:HRX590181 IBT590143:IBT590181 ILP590143:ILP590181 IVL590143:IVL590181 JFH590143:JFH590181 JPD590143:JPD590181 JYZ590143:JYZ590181 KIV590143:KIV590181 KSR590143:KSR590181 LCN590143:LCN590181 LMJ590143:LMJ590181 LWF590143:LWF590181 MGB590143:MGB590181 MPX590143:MPX590181 MZT590143:MZT590181 NJP590143:NJP590181 NTL590143:NTL590181 ODH590143:ODH590181 OND590143:OND590181 OWZ590143:OWZ590181 PGV590143:PGV590181 PQR590143:PQR590181 QAN590143:QAN590181 QKJ590143:QKJ590181 QUF590143:QUF590181 REB590143:REB590181 RNX590143:RNX590181 RXT590143:RXT590181 SHP590143:SHP590181 SRL590143:SRL590181 TBH590143:TBH590181 TLD590143:TLD590181 TUZ590143:TUZ590181 UEV590143:UEV590181 UOR590143:UOR590181 UYN590143:UYN590181 VIJ590143:VIJ590181 VSF590143:VSF590181 WCB590143:WCB590181 WLX590143:WLX590181 WVT590143:WVT590181 L655679:L655717 JH655679:JH655717 TD655679:TD655717 ACZ655679:ACZ655717 AMV655679:AMV655717 AWR655679:AWR655717 BGN655679:BGN655717 BQJ655679:BQJ655717 CAF655679:CAF655717 CKB655679:CKB655717 CTX655679:CTX655717 DDT655679:DDT655717 DNP655679:DNP655717 DXL655679:DXL655717 EHH655679:EHH655717 ERD655679:ERD655717 FAZ655679:FAZ655717 FKV655679:FKV655717 FUR655679:FUR655717 GEN655679:GEN655717 GOJ655679:GOJ655717 GYF655679:GYF655717 HIB655679:HIB655717 HRX655679:HRX655717 IBT655679:IBT655717 ILP655679:ILP655717 IVL655679:IVL655717 JFH655679:JFH655717 JPD655679:JPD655717 JYZ655679:JYZ655717 KIV655679:KIV655717 KSR655679:KSR655717 LCN655679:LCN655717 LMJ655679:LMJ655717 LWF655679:LWF655717 MGB655679:MGB655717 MPX655679:MPX655717 MZT655679:MZT655717 NJP655679:NJP655717 NTL655679:NTL655717 ODH655679:ODH655717 OND655679:OND655717 OWZ655679:OWZ655717 PGV655679:PGV655717 PQR655679:PQR655717 QAN655679:QAN655717 QKJ655679:QKJ655717 QUF655679:QUF655717 REB655679:REB655717 RNX655679:RNX655717 RXT655679:RXT655717 SHP655679:SHP655717 SRL655679:SRL655717 TBH655679:TBH655717 TLD655679:TLD655717 TUZ655679:TUZ655717 UEV655679:UEV655717 UOR655679:UOR655717 UYN655679:UYN655717 VIJ655679:VIJ655717 VSF655679:VSF655717 WCB655679:WCB655717 WLX655679:WLX655717 WVT655679:WVT655717 L721215:L721253 JH721215:JH721253 TD721215:TD721253 ACZ721215:ACZ721253 AMV721215:AMV721253 AWR721215:AWR721253 BGN721215:BGN721253 BQJ721215:BQJ721253 CAF721215:CAF721253 CKB721215:CKB721253 CTX721215:CTX721253 DDT721215:DDT721253 DNP721215:DNP721253 DXL721215:DXL721253 EHH721215:EHH721253 ERD721215:ERD721253 FAZ721215:FAZ721253 FKV721215:FKV721253 FUR721215:FUR721253 GEN721215:GEN721253 GOJ721215:GOJ721253 GYF721215:GYF721253 HIB721215:HIB721253 HRX721215:HRX721253 IBT721215:IBT721253 ILP721215:ILP721253 IVL721215:IVL721253 JFH721215:JFH721253 JPD721215:JPD721253 JYZ721215:JYZ721253 KIV721215:KIV721253 KSR721215:KSR721253 LCN721215:LCN721253 LMJ721215:LMJ721253 LWF721215:LWF721253 MGB721215:MGB721253 MPX721215:MPX721253 MZT721215:MZT721253 NJP721215:NJP721253 NTL721215:NTL721253 ODH721215:ODH721253 OND721215:OND721253 OWZ721215:OWZ721253 PGV721215:PGV721253 PQR721215:PQR721253 QAN721215:QAN721253 QKJ721215:QKJ721253 QUF721215:QUF721253 REB721215:REB721253 RNX721215:RNX721253 RXT721215:RXT721253 SHP721215:SHP721253 SRL721215:SRL721253 TBH721215:TBH721253 TLD721215:TLD721253 TUZ721215:TUZ721253 UEV721215:UEV721253 UOR721215:UOR721253 UYN721215:UYN721253 VIJ721215:VIJ721253 VSF721215:VSF721253 WCB721215:WCB721253 WLX721215:WLX721253 WVT721215:WVT721253 L786751:L786789 JH786751:JH786789 TD786751:TD786789 ACZ786751:ACZ786789 AMV786751:AMV786789 AWR786751:AWR786789 BGN786751:BGN786789 BQJ786751:BQJ786789 CAF786751:CAF786789 CKB786751:CKB786789 CTX786751:CTX786789 DDT786751:DDT786789 DNP786751:DNP786789 DXL786751:DXL786789 EHH786751:EHH786789 ERD786751:ERD786789 FAZ786751:FAZ786789 FKV786751:FKV786789 FUR786751:FUR786789 GEN786751:GEN786789 GOJ786751:GOJ786789 GYF786751:GYF786789 HIB786751:HIB786789 HRX786751:HRX786789 IBT786751:IBT786789 ILP786751:ILP786789 IVL786751:IVL786789 JFH786751:JFH786789 JPD786751:JPD786789 JYZ786751:JYZ786789 KIV786751:KIV786789 KSR786751:KSR786789 LCN786751:LCN786789 LMJ786751:LMJ786789 LWF786751:LWF786789 MGB786751:MGB786789 MPX786751:MPX786789 MZT786751:MZT786789 NJP786751:NJP786789 NTL786751:NTL786789 ODH786751:ODH786789 OND786751:OND786789 OWZ786751:OWZ786789 PGV786751:PGV786789 PQR786751:PQR786789 QAN786751:QAN786789 QKJ786751:QKJ786789 QUF786751:QUF786789 REB786751:REB786789 RNX786751:RNX786789 RXT786751:RXT786789 SHP786751:SHP786789 SRL786751:SRL786789 TBH786751:TBH786789 TLD786751:TLD786789 TUZ786751:TUZ786789 UEV786751:UEV786789 UOR786751:UOR786789 UYN786751:UYN786789 VIJ786751:VIJ786789 VSF786751:VSF786789 WCB786751:WCB786789 WLX786751:WLX786789 WVT786751:WVT786789 L852287:L852325 JH852287:JH852325 TD852287:TD852325 ACZ852287:ACZ852325 AMV852287:AMV852325 AWR852287:AWR852325 BGN852287:BGN852325 BQJ852287:BQJ852325 CAF852287:CAF852325 CKB852287:CKB852325 CTX852287:CTX852325 DDT852287:DDT852325 DNP852287:DNP852325 DXL852287:DXL852325 EHH852287:EHH852325 ERD852287:ERD852325 FAZ852287:FAZ852325 FKV852287:FKV852325 FUR852287:FUR852325 GEN852287:GEN852325 GOJ852287:GOJ852325 GYF852287:GYF852325 HIB852287:HIB852325 HRX852287:HRX852325 IBT852287:IBT852325 ILP852287:ILP852325 IVL852287:IVL852325 JFH852287:JFH852325 JPD852287:JPD852325 JYZ852287:JYZ852325 KIV852287:KIV852325 KSR852287:KSR852325 LCN852287:LCN852325 LMJ852287:LMJ852325 LWF852287:LWF852325 MGB852287:MGB852325 MPX852287:MPX852325 MZT852287:MZT852325 NJP852287:NJP852325 NTL852287:NTL852325 ODH852287:ODH852325 OND852287:OND852325 OWZ852287:OWZ852325 PGV852287:PGV852325 PQR852287:PQR852325 QAN852287:QAN852325 QKJ852287:QKJ852325 QUF852287:QUF852325 REB852287:REB852325 RNX852287:RNX852325 RXT852287:RXT852325 SHP852287:SHP852325 SRL852287:SRL852325 TBH852287:TBH852325 TLD852287:TLD852325 TUZ852287:TUZ852325 UEV852287:UEV852325 UOR852287:UOR852325 UYN852287:UYN852325 VIJ852287:VIJ852325 VSF852287:VSF852325 WCB852287:WCB852325 WLX852287:WLX852325 WVT852287:WVT852325 L917823:L917861 JH917823:JH917861 TD917823:TD917861 ACZ917823:ACZ917861 AMV917823:AMV917861 AWR917823:AWR917861 BGN917823:BGN917861 BQJ917823:BQJ917861 CAF917823:CAF917861 CKB917823:CKB917861 CTX917823:CTX917861 DDT917823:DDT917861 DNP917823:DNP917861 DXL917823:DXL917861 EHH917823:EHH917861 ERD917823:ERD917861 FAZ917823:FAZ917861 FKV917823:FKV917861 FUR917823:FUR917861 GEN917823:GEN917861 GOJ917823:GOJ917861 GYF917823:GYF917861 HIB917823:HIB917861 HRX917823:HRX917861 IBT917823:IBT917861 ILP917823:ILP917861 IVL917823:IVL917861 JFH917823:JFH917861 JPD917823:JPD917861 JYZ917823:JYZ917861 KIV917823:KIV917861 KSR917823:KSR917861 LCN917823:LCN917861 LMJ917823:LMJ917861 LWF917823:LWF917861 MGB917823:MGB917861 MPX917823:MPX917861 MZT917823:MZT917861 NJP917823:NJP917861 NTL917823:NTL917861 ODH917823:ODH917861 OND917823:OND917861 OWZ917823:OWZ917861 PGV917823:PGV917861 PQR917823:PQR917861 QAN917823:QAN917861 QKJ917823:QKJ917861 QUF917823:QUF917861 REB917823:REB917861 RNX917823:RNX917861 RXT917823:RXT917861 SHP917823:SHP917861 SRL917823:SRL917861 TBH917823:TBH917861 TLD917823:TLD917861 TUZ917823:TUZ917861 UEV917823:UEV917861 UOR917823:UOR917861 UYN917823:UYN917861 VIJ917823:VIJ917861 VSF917823:VSF917861 WCB917823:WCB917861 WLX917823:WLX917861 WVT917823:WVT917861 L983359:L983397 JH983359:JH983397 TD983359:TD983397 ACZ983359:ACZ983397 AMV983359:AMV983397 AWR983359:AWR983397 BGN983359:BGN983397 BQJ983359:BQJ983397 CAF983359:CAF983397 CKB983359:CKB983397 CTX983359:CTX983397 DDT983359:DDT983397 DNP983359:DNP983397 DXL983359:DXL983397 EHH983359:EHH983397 ERD983359:ERD983397 FAZ983359:FAZ983397 FKV983359:FKV983397 FUR983359:FUR983397 GEN983359:GEN983397 GOJ983359:GOJ983397 GYF983359:GYF983397 HIB983359:HIB983397 HRX983359:HRX983397 IBT983359:IBT983397 ILP983359:ILP983397 IVL983359:IVL983397 JFH983359:JFH983397 JPD983359:JPD983397 JYZ983359:JYZ983397 KIV983359:KIV983397 KSR983359:KSR983397 LCN983359:LCN983397 LMJ983359:LMJ983397 LWF983359:LWF983397 MGB983359:MGB983397 MPX983359:MPX983397 MZT983359:MZT983397 NJP983359:NJP983397 NTL983359:NTL983397 ODH983359:ODH983397 OND983359:OND983397 OWZ983359:OWZ983397 PGV983359:PGV983397 PQR983359:PQR983397 QAN983359:QAN983397 QKJ983359:QKJ983397 QUF983359:QUF983397 REB983359:REB983397 RNX983359:RNX983397 RXT983359:RXT983397 SHP983359:SHP983397 SRL983359:SRL983397 TBH983359:TBH983397 TLD983359:TLD983397 TUZ983359:TUZ983397 UEV983359:UEV983397 UOR983359:UOR983397 UYN983359:UYN983397 VIJ983359:VIJ983397 VSF983359:VSF983397 WCB983359:WCB983397 WLX983359:WLX983397 WVT983359:WVT983397 L222:L230 JH222:JH229 TD222:TD229 ACZ222:ACZ229 AMV222:AMV229 AWR222:AWR229 BGN222:BGN229 BQJ222:BQJ229 CAF222:CAF229 CKB222:CKB229 CTX222:CTX229 DDT222:DDT229 DNP222:DNP229 DXL222:DXL229 EHH222:EHH229 ERD222:ERD229 FAZ222:FAZ229 FKV222:FKV229 FUR222:FUR229 GEN222:GEN229 GOJ222:GOJ229 GYF222:GYF229 HIB222:HIB229 HRX222:HRX229 IBT222:IBT229 ILP222:ILP229 IVL222:IVL229 JFH222:JFH229 JPD222:JPD229 JYZ222:JYZ229 KIV222:KIV229 KSR222:KSR229 LCN222:LCN229 LMJ222:LMJ229 LWF222:LWF229 MGB222:MGB229 MPX222:MPX229 MZT222:MZT229 NJP222:NJP229 NTL222:NTL229 ODH222:ODH229 OND222:OND229 OWZ222:OWZ229 PGV222:PGV229 PQR222:PQR229 QAN222:QAN229 QKJ222:QKJ229 QUF222:QUF229 REB222:REB229 RNX222:RNX229 RXT222:RXT229 SHP222:SHP229 SRL222:SRL229 TBH222:TBH229 TLD222:TLD229 TUZ222:TUZ229 UEV222:UEV229 UOR222:UOR229 UYN222:UYN229 VIJ222:VIJ229 VSF222:VSF229 WCB222:WCB229 WLX222:WLX229 WVT222:WVT229 L65841:L65848 JH65841:JH65848 TD65841:TD65848 ACZ65841:ACZ65848 AMV65841:AMV65848 AWR65841:AWR65848 BGN65841:BGN65848 BQJ65841:BQJ65848 CAF65841:CAF65848 CKB65841:CKB65848 CTX65841:CTX65848 DDT65841:DDT65848 DNP65841:DNP65848 DXL65841:DXL65848 EHH65841:EHH65848 ERD65841:ERD65848 FAZ65841:FAZ65848 FKV65841:FKV65848 FUR65841:FUR65848 GEN65841:GEN65848 GOJ65841:GOJ65848 GYF65841:GYF65848 HIB65841:HIB65848 HRX65841:HRX65848 IBT65841:IBT65848 ILP65841:ILP65848 IVL65841:IVL65848 JFH65841:JFH65848 JPD65841:JPD65848 JYZ65841:JYZ65848 KIV65841:KIV65848 KSR65841:KSR65848 LCN65841:LCN65848 LMJ65841:LMJ65848 LWF65841:LWF65848 MGB65841:MGB65848 MPX65841:MPX65848 MZT65841:MZT65848 NJP65841:NJP65848 NTL65841:NTL65848 ODH65841:ODH65848 OND65841:OND65848 OWZ65841:OWZ65848 PGV65841:PGV65848 PQR65841:PQR65848 QAN65841:QAN65848 QKJ65841:QKJ65848 QUF65841:QUF65848 REB65841:REB65848 RNX65841:RNX65848 RXT65841:RXT65848 SHP65841:SHP65848 SRL65841:SRL65848 TBH65841:TBH65848 TLD65841:TLD65848 TUZ65841:TUZ65848 UEV65841:UEV65848 UOR65841:UOR65848 UYN65841:UYN65848 VIJ65841:VIJ65848 VSF65841:VSF65848 WCB65841:WCB65848 WLX65841:WLX65848 WVT65841:WVT65848 L131377:L131384 JH131377:JH131384 TD131377:TD131384 ACZ131377:ACZ131384 AMV131377:AMV131384 AWR131377:AWR131384 BGN131377:BGN131384 BQJ131377:BQJ131384 CAF131377:CAF131384 CKB131377:CKB131384 CTX131377:CTX131384 DDT131377:DDT131384 DNP131377:DNP131384 DXL131377:DXL131384 EHH131377:EHH131384 ERD131377:ERD131384 FAZ131377:FAZ131384 FKV131377:FKV131384 FUR131377:FUR131384 GEN131377:GEN131384 GOJ131377:GOJ131384 GYF131377:GYF131384 HIB131377:HIB131384 HRX131377:HRX131384 IBT131377:IBT131384 ILP131377:ILP131384 IVL131377:IVL131384 JFH131377:JFH131384 JPD131377:JPD131384 JYZ131377:JYZ131384 KIV131377:KIV131384 KSR131377:KSR131384 LCN131377:LCN131384 LMJ131377:LMJ131384 LWF131377:LWF131384 MGB131377:MGB131384 MPX131377:MPX131384 MZT131377:MZT131384 NJP131377:NJP131384 NTL131377:NTL131384 ODH131377:ODH131384 OND131377:OND131384 OWZ131377:OWZ131384 PGV131377:PGV131384 PQR131377:PQR131384 QAN131377:QAN131384 QKJ131377:QKJ131384 QUF131377:QUF131384 REB131377:REB131384 RNX131377:RNX131384 RXT131377:RXT131384 SHP131377:SHP131384 SRL131377:SRL131384 TBH131377:TBH131384 TLD131377:TLD131384 TUZ131377:TUZ131384 UEV131377:UEV131384 UOR131377:UOR131384 UYN131377:UYN131384 VIJ131377:VIJ131384 VSF131377:VSF131384 WCB131377:WCB131384 WLX131377:WLX131384 WVT131377:WVT131384 L196913:L196920 JH196913:JH196920 TD196913:TD196920 ACZ196913:ACZ196920 AMV196913:AMV196920 AWR196913:AWR196920 BGN196913:BGN196920 BQJ196913:BQJ196920 CAF196913:CAF196920 CKB196913:CKB196920 CTX196913:CTX196920 DDT196913:DDT196920 DNP196913:DNP196920 DXL196913:DXL196920 EHH196913:EHH196920 ERD196913:ERD196920 FAZ196913:FAZ196920 FKV196913:FKV196920 FUR196913:FUR196920 GEN196913:GEN196920 GOJ196913:GOJ196920 GYF196913:GYF196920 HIB196913:HIB196920 HRX196913:HRX196920 IBT196913:IBT196920 ILP196913:ILP196920 IVL196913:IVL196920 JFH196913:JFH196920 JPD196913:JPD196920 JYZ196913:JYZ196920 KIV196913:KIV196920 KSR196913:KSR196920 LCN196913:LCN196920 LMJ196913:LMJ196920 LWF196913:LWF196920 MGB196913:MGB196920 MPX196913:MPX196920 MZT196913:MZT196920 NJP196913:NJP196920 NTL196913:NTL196920 ODH196913:ODH196920 OND196913:OND196920 OWZ196913:OWZ196920 PGV196913:PGV196920 PQR196913:PQR196920 QAN196913:QAN196920 QKJ196913:QKJ196920 QUF196913:QUF196920 REB196913:REB196920 RNX196913:RNX196920 RXT196913:RXT196920 SHP196913:SHP196920 SRL196913:SRL196920 TBH196913:TBH196920 TLD196913:TLD196920 TUZ196913:TUZ196920 UEV196913:UEV196920 UOR196913:UOR196920 UYN196913:UYN196920 VIJ196913:VIJ196920 VSF196913:VSF196920 WCB196913:WCB196920 WLX196913:WLX196920 WVT196913:WVT196920 L262449:L262456 JH262449:JH262456 TD262449:TD262456 ACZ262449:ACZ262456 AMV262449:AMV262456 AWR262449:AWR262456 BGN262449:BGN262456 BQJ262449:BQJ262456 CAF262449:CAF262456 CKB262449:CKB262456 CTX262449:CTX262456 DDT262449:DDT262456 DNP262449:DNP262456 DXL262449:DXL262456 EHH262449:EHH262456 ERD262449:ERD262456 FAZ262449:FAZ262456 FKV262449:FKV262456 FUR262449:FUR262456 GEN262449:GEN262456 GOJ262449:GOJ262456 GYF262449:GYF262456 HIB262449:HIB262456 HRX262449:HRX262456 IBT262449:IBT262456 ILP262449:ILP262456 IVL262449:IVL262456 JFH262449:JFH262456 JPD262449:JPD262456 JYZ262449:JYZ262456 KIV262449:KIV262456 KSR262449:KSR262456 LCN262449:LCN262456 LMJ262449:LMJ262456 LWF262449:LWF262456 MGB262449:MGB262456 MPX262449:MPX262456 MZT262449:MZT262456 NJP262449:NJP262456 NTL262449:NTL262456 ODH262449:ODH262456 OND262449:OND262456 OWZ262449:OWZ262456 PGV262449:PGV262456 PQR262449:PQR262456 QAN262449:QAN262456 QKJ262449:QKJ262456 QUF262449:QUF262456 REB262449:REB262456 RNX262449:RNX262456 RXT262449:RXT262456 SHP262449:SHP262456 SRL262449:SRL262456 TBH262449:TBH262456 TLD262449:TLD262456 TUZ262449:TUZ262456 UEV262449:UEV262456 UOR262449:UOR262456 UYN262449:UYN262456 VIJ262449:VIJ262456 VSF262449:VSF262456 WCB262449:WCB262456 WLX262449:WLX262456 WVT262449:WVT262456 L327985:L327992 JH327985:JH327992 TD327985:TD327992 ACZ327985:ACZ327992 AMV327985:AMV327992 AWR327985:AWR327992 BGN327985:BGN327992 BQJ327985:BQJ327992 CAF327985:CAF327992 CKB327985:CKB327992 CTX327985:CTX327992 DDT327985:DDT327992 DNP327985:DNP327992 DXL327985:DXL327992 EHH327985:EHH327992 ERD327985:ERD327992 FAZ327985:FAZ327992 FKV327985:FKV327992 FUR327985:FUR327992 GEN327985:GEN327992 GOJ327985:GOJ327992 GYF327985:GYF327992 HIB327985:HIB327992 HRX327985:HRX327992 IBT327985:IBT327992 ILP327985:ILP327992 IVL327985:IVL327992 JFH327985:JFH327992 JPD327985:JPD327992 JYZ327985:JYZ327992 KIV327985:KIV327992 KSR327985:KSR327992 LCN327985:LCN327992 LMJ327985:LMJ327992 LWF327985:LWF327992 MGB327985:MGB327992 MPX327985:MPX327992 MZT327985:MZT327992 NJP327985:NJP327992 NTL327985:NTL327992 ODH327985:ODH327992 OND327985:OND327992 OWZ327985:OWZ327992 PGV327985:PGV327992 PQR327985:PQR327992 QAN327985:QAN327992 QKJ327985:QKJ327992 QUF327985:QUF327992 REB327985:REB327992 RNX327985:RNX327992 RXT327985:RXT327992 SHP327985:SHP327992 SRL327985:SRL327992 TBH327985:TBH327992 TLD327985:TLD327992 TUZ327985:TUZ327992 UEV327985:UEV327992 UOR327985:UOR327992 UYN327985:UYN327992 VIJ327985:VIJ327992 VSF327985:VSF327992 WCB327985:WCB327992 WLX327985:WLX327992 WVT327985:WVT327992 L393521:L393528 JH393521:JH393528 TD393521:TD393528 ACZ393521:ACZ393528 AMV393521:AMV393528 AWR393521:AWR393528 BGN393521:BGN393528 BQJ393521:BQJ393528 CAF393521:CAF393528 CKB393521:CKB393528 CTX393521:CTX393528 DDT393521:DDT393528 DNP393521:DNP393528 DXL393521:DXL393528 EHH393521:EHH393528 ERD393521:ERD393528 FAZ393521:FAZ393528 FKV393521:FKV393528 FUR393521:FUR393528 GEN393521:GEN393528 GOJ393521:GOJ393528 GYF393521:GYF393528 HIB393521:HIB393528 HRX393521:HRX393528 IBT393521:IBT393528 ILP393521:ILP393528 IVL393521:IVL393528 JFH393521:JFH393528 JPD393521:JPD393528 JYZ393521:JYZ393528 KIV393521:KIV393528 KSR393521:KSR393528 LCN393521:LCN393528 LMJ393521:LMJ393528 LWF393521:LWF393528 MGB393521:MGB393528 MPX393521:MPX393528 MZT393521:MZT393528 NJP393521:NJP393528 NTL393521:NTL393528 ODH393521:ODH393528 OND393521:OND393528 OWZ393521:OWZ393528 PGV393521:PGV393528 PQR393521:PQR393528 QAN393521:QAN393528 QKJ393521:QKJ393528 QUF393521:QUF393528 REB393521:REB393528 RNX393521:RNX393528 RXT393521:RXT393528 SHP393521:SHP393528 SRL393521:SRL393528 TBH393521:TBH393528 TLD393521:TLD393528 TUZ393521:TUZ393528 UEV393521:UEV393528 UOR393521:UOR393528 UYN393521:UYN393528 VIJ393521:VIJ393528 VSF393521:VSF393528 WCB393521:WCB393528 WLX393521:WLX393528 WVT393521:WVT393528 L459057:L459064 JH459057:JH459064 TD459057:TD459064 ACZ459057:ACZ459064 AMV459057:AMV459064 AWR459057:AWR459064 BGN459057:BGN459064 BQJ459057:BQJ459064 CAF459057:CAF459064 CKB459057:CKB459064 CTX459057:CTX459064 DDT459057:DDT459064 DNP459057:DNP459064 DXL459057:DXL459064 EHH459057:EHH459064 ERD459057:ERD459064 FAZ459057:FAZ459064 FKV459057:FKV459064 FUR459057:FUR459064 GEN459057:GEN459064 GOJ459057:GOJ459064 GYF459057:GYF459064 HIB459057:HIB459064 HRX459057:HRX459064 IBT459057:IBT459064 ILP459057:ILP459064 IVL459057:IVL459064 JFH459057:JFH459064 JPD459057:JPD459064 JYZ459057:JYZ459064 KIV459057:KIV459064 KSR459057:KSR459064 LCN459057:LCN459064 LMJ459057:LMJ459064 LWF459057:LWF459064 MGB459057:MGB459064 MPX459057:MPX459064 MZT459057:MZT459064 NJP459057:NJP459064 NTL459057:NTL459064 ODH459057:ODH459064 OND459057:OND459064 OWZ459057:OWZ459064 PGV459057:PGV459064 PQR459057:PQR459064 QAN459057:QAN459064 QKJ459057:QKJ459064 QUF459057:QUF459064 REB459057:REB459064 RNX459057:RNX459064 RXT459057:RXT459064 SHP459057:SHP459064 SRL459057:SRL459064 TBH459057:TBH459064 TLD459057:TLD459064 TUZ459057:TUZ459064 UEV459057:UEV459064 UOR459057:UOR459064 UYN459057:UYN459064 VIJ459057:VIJ459064 VSF459057:VSF459064 WCB459057:WCB459064 WLX459057:WLX459064 WVT459057:WVT459064 L524593:L524600 JH524593:JH524600 TD524593:TD524600 ACZ524593:ACZ524600 AMV524593:AMV524600 AWR524593:AWR524600 BGN524593:BGN524600 BQJ524593:BQJ524600 CAF524593:CAF524600 CKB524593:CKB524600 CTX524593:CTX524600 DDT524593:DDT524600 DNP524593:DNP524600 DXL524593:DXL524600 EHH524593:EHH524600 ERD524593:ERD524600 FAZ524593:FAZ524600 FKV524593:FKV524600 FUR524593:FUR524600 GEN524593:GEN524600 GOJ524593:GOJ524600 GYF524593:GYF524600 HIB524593:HIB524600 HRX524593:HRX524600 IBT524593:IBT524600 ILP524593:ILP524600 IVL524593:IVL524600 JFH524593:JFH524600 JPD524593:JPD524600 JYZ524593:JYZ524600 KIV524593:KIV524600 KSR524593:KSR524600 LCN524593:LCN524600 LMJ524593:LMJ524600 LWF524593:LWF524600 MGB524593:MGB524600 MPX524593:MPX524600 MZT524593:MZT524600 NJP524593:NJP524600 NTL524593:NTL524600 ODH524593:ODH524600 OND524593:OND524600 OWZ524593:OWZ524600 PGV524593:PGV524600 PQR524593:PQR524600 QAN524593:QAN524600 QKJ524593:QKJ524600 QUF524593:QUF524600 REB524593:REB524600 RNX524593:RNX524600 RXT524593:RXT524600 SHP524593:SHP524600 SRL524593:SRL524600 TBH524593:TBH524600 TLD524593:TLD524600 TUZ524593:TUZ524600 UEV524593:UEV524600 UOR524593:UOR524600 UYN524593:UYN524600 VIJ524593:VIJ524600 VSF524593:VSF524600 WCB524593:WCB524600 WLX524593:WLX524600 WVT524593:WVT524600 L590129:L590136 JH590129:JH590136 TD590129:TD590136 ACZ590129:ACZ590136 AMV590129:AMV590136 AWR590129:AWR590136 BGN590129:BGN590136 BQJ590129:BQJ590136 CAF590129:CAF590136 CKB590129:CKB590136 CTX590129:CTX590136 DDT590129:DDT590136 DNP590129:DNP590136 DXL590129:DXL590136 EHH590129:EHH590136 ERD590129:ERD590136 FAZ590129:FAZ590136 FKV590129:FKV590136 FUR590129:FUR590136 GEN590129:GEN590136 GOJ590129:GOJ590136 GYF590129:GYF590136 HIB590129:HIB590136 HRX590129:HRX590136 IBT590129:IBT590136 ILP590129:ILP590136 IVL590129:IVL590136 JFH590129:JFH590136 JPD590129:JPD590136 JYZ590129:JYZ590136 KIV590129:KIV590136 KSR590129:KSR590136 LCN590129:LCN590136 LMJ590129:LMJ590136 LWF590129:LWF590136 MGB590129:MGB590136 MPX590129:MPX590136 MZT590129:MZT590136 NJP590129:NJP590136 NTL590129:NTL590136 ODH590129:ODH590136 OND590129:OND590136 OWZ590129:OWZ590136 PGV590129:PGV590136 PQR590129:PQR590136 QAN590129:QAN590136 QKJ590129:QKJ590136 QUF590129:QUF590136 REB590129:REB590136 RNX590129:RNX590136 RXT590129:RXT590136 SHP590129:SHP590136 SRL590129:SRL590136 TBH590129:TBH590136 TLD590129:TLD590136 TUZ590129:TUZ590136 UEV590129:UEV590136 UOR590129:UOR590136 UYN590129:UYN590136 VIJ590129:VIJ590136 VSF590129:VSF590136 WCB590129:WCB590136 WLX590129:WLX590136 WVT590129:WVT590136 L655665:L655672 JH655665:JH655672 TD655665:TD655672 ACZ655665:ACZ655672 AMV655665:AMV655672 AWR655665:AWR655672 BGN655665:BGN655672 BQJ655665:BQJ655672 CAF655665:CAF655672 CKB655665:CKB655672 CTX655665:CTX655672 DDT655665:DDT655672 DNP655665:DNP655672 DXL655665:DXL655672 EHH655665:EHH655672 ERD655665:ERD655672 FAZ655665:FAZ655672 FKV655665:FKV655672 FUR655665:FUR655672 GEN655665:GEN655672 GOJ655665:GOJ655672 GYF655665:GYF655672 HIB655665:HIB655672 HRX655665:HRX655672 IBT655665:IBT655672 ILP655665:ILP655672 IVL655665:IVL655672 JFH655665:JFH655672 JPD655665:JPD655672 JYZ655665:JYZ655672 KIV655665:KIV655672 KSR655665:KSR655672 LCN655665:LCN655672 LMJ655665:LMJ655672 LWF655665:LWF655672 MGB655665:MGB655672 MPX655665:MPX655672 MZT655665:MZT655672 NJP655665:NJP655672 NTL655665:NTL655672 ODH655665:ODH655672 OND655665:OND655672 OWZ655665:OWZ655672 PGV655665:PGV655672 PQR655665:PQR655672 QAN655665:QAN655672 QKJ655665:QKJ655672 QUF655665:QUF655672 REB655665:REB655672 RNX655665:RNX655672 RXT655665:RXT655672 SHP655665:SHP655672 SRL655665:SRL655672 TBH655665:TBH655672 TLD655665:TLD655672 TUZ655665:TUZ655672 UEV655665:UEV655672 UOR655665:UOR655672 UYN655665:UYN655672 VIJ655665:VIJ655672 VSF655665:VSF655672 WCB655665:WCB655672 WLX655665:WLX655672 WVT655665:WVT655672 L721201:L721208 JH721201:JH721208 TD721201:TD721208 ACZ721201:ACZ721208 AMV721201:AMV721208 AWR721201:AWR721208 BGN721201:BGN721208 BQJ721201:BQJ721208 CAF721201:CAF721208 CKB721201:CKB721208 CTX721201:CTX721208 DDT721201:DDT721208 DNP721201:DNP721208 DXL721201:DXL721208 EHH721201:EHH721208 ERD721201:ERD721208 FAZ721201:FAZ721208 FKV721201:FKV721208 FUR721201:FUR721208 GEN721201:GEN721208 GOJ721201:GOJ721208 GYF721201:GYF721208 HIB721201:HIB721208 HRX721201:HRX721208 IBT721201:IBT721208 ILP721201:ILP721208 IVL721201:IVL721208 JFH721201:JFH721208 JPD721201:JPD721208 JYZ721201:JYZ721208 KIV721201:KIV721208 KSR721201:KSR721208 LCN721201:LCN721208 LMJ721201:LMJ721208 LWF721201:LWF721208 MGB721201:MGB721208 MPX721201:MPX721208 MZT721201:MZT721208 NJP721201:NJP721208 NTL721201:NTL721208 ODH721201:ODH721208 OND721201:OND721208 OWZ721201:OWZ721208 PGV721201:PGV721208 PQR721201:PQR721208 QAN721201:QAN721208 QKJ721201:QKJ721208 QUF721201:QUF721208 REB721201:REB721208 RNX721201:RNX721208 RXT721201:RXT721208 SHP721201:SHP721208 SRL721201:SRL721208 TBH721201:TBH721208 TLD721201:TLD721208 TUZ721201:TUZ721208 UEV721201:UEV721208 UOR721201:UOR721208 UYN721201:UYN721208 VIJ721201:VIJ721208 VSF721201:VSF721208 WCB721201:WCB721208 WLX721201:WLX721208 WVT721201:WVT721208 L786737:L786744 JH786737:JH786744 TD786737:TD786744 ACZ786737:ACZ786744 AMV786737:AMV786744 AWR786737:AWR786744 BGN786737:BGN786744 BQJ786737:BQJ786744 CAF786737:CAF786744 CKB786737:CKB786744 CTX786737:CTX786744 DDT786737:DDT786744 DNP786737:DNP786744 DXL786737:DXL786744 EHH786737:EHH786744 ERD786737:ERD786744 FAZ786737:FAZ786744 FKV786737:FKV786744 FUR786737:FUR786744 GEN786737:GEN786744 GOJ786737:GOJ786744 GYF786737:GYF786744 HIB786737:HIB786744 HRX786737:HRX786744 IBT786737:IBT786744 ILP786737:ILP786744 IVL786737:IVL786744 JFH786737:JFH786744 JPD786737:JPD786744 JYZ786737:JYZ786744 KIV786737:KIV786744 KSR786737:KSR786744 LCN786737:LCN786744 LMJ786737:LMJ786744 LWF786737:LWF786744 MGB786737:MGB786744 MPX786737:MPX786744 MZT786737:MZT786744 NJP786737:NJP786744 NTL786737:NTL786744 ODH786737:ODH786744 OND786737:OND786744 OWZ786737:OWZ786744 PGV786737:PGV786744 PQR786737:PQR786744 QAN786737:QAN786744 QKJ786737:QKJ786744 QUF786737:QUF786744 REB786737:REB786744 RNX786737:RNX786744 RXT786737:RXT786744 SHP786737:SHP786744 SRL786737:SRL786744 TBH786737:TBH786744 TLD786737:TLD786744 TUZ786737:TUZ786744 UEV786737:UEV786744 UOR786737:UOR786744 UYN786737:UYN786744 VIJ786737:VIJ786744 VSF786737:VSF786744 WCB786737:WCB786744 WLX786737:WLX786744 WVT786737:WVT786744 L852273:L852280 JH852273:JH852280 TD852273:TD852280 ACZ852273:ACZ852280 AMV852273:AMV852280 AWR852273:AWR852280 BGN852273:BGN852280 BQJ852273:BQJ852280 CAF852273:CAF852280 CKB852273:CKB852280 CTX852273:CTX852280 DDT852273:DDT852280 DNP852273:DNP852280 DXL852273:DXL852280 EHH852273:EHH852280 ERD852273:ERD852280 FAZ852273:FAZ852280 FKV852273:FKV852280 FUR852273:FUR852280 GEN852273:GEN852280 GOJ852273:GOJ852280 GYF852273:GYF852280 HIB852273:HIB852280 HRX852273:HRX852280 IBT852273:IBT852280 ILP852273:ILP852280 IVL852273:IVL852280 JFH852273:JFH852280 JPD852273:JPD852280 JYZ852273:JYZ852280 KIV852273:KIV852280 KSR852273:KSR852280 LCN852273:LCN852280 LMJ852273:LMJ852280 LWF852273:LWF852280 MGB852273:MGB852280 MPX852273:MPX852280 MZT852273:MZT852280 NJP852273:NJP852280 NTL852273:NTL852280 ODH852273:ODH852280 OND852273:OND852280 OWZ852273:OWZ852280 PGV852273:PGV852280 PQR852273:PQR852280 QAN852273:QAN852280 QKJ852273:QKJ852280 QUF852273:QUF852280 REB852273:REB852280 RNX852273:RNX852280 RXT852273:RXT852280 SHP852273:SHP852280 SRL852273:SRL852280 TBH852273:TBH852280 TLD852273:TLD852280 TUZ852273:TUZ852280 UEV852273:UEV852280 UOR852273:UOR852280 UYN852273:UYN852280 VIJ852273:VIJ852280 VSF852273:VSF852280 WCB852273:WCB852280 WLX852273:WLX852280 WVT852273:WVT852280 L917809:L917816 JH917809:JH917816 TD917809:TD917816 ACZ917809:ACZ917816 AMV917809:AMV917816 AWR917809:AWR917816 BGN917809:BGN917816 BQJ917809:BQJ917816 CAF917809:CAF917816 CKB917809:CKB917816 CTX917809:CTX917816 DDT917809:DDT917816 DNP917809:DNP917816 DXL917809:DXL917816 EHH917809:EHH917816 ERD917809:ERD917816 FAZ917809:FAZ917816 FKV917809:FKV917816 FUR917809:FUR917816 GEN917809:GEN917816 GOJ917809:GOJ917816 GYF917809:GYF917816 HIB917809:HIB917816 HRX917809:HRX917816 IBT917809:IBT917816 ILP917809:ILP917816 IVL917809:IVL917816 JFH917809:JFH917816 JPD917809:JPD917816 JYZ917809:JYZ917816 KIV917809:KIV917816 KSR917809:KSR917816 LCN917809:LCN917816 LMJ917809:LMJ917816 LWF917809:LWF917816 MGB917809:MGB917816 MPX917809:MPX917816 MZT917809:MZT917816 NJP917809:NJP917816 NTL917809:NTL917816 ODH917809:ODH917816 OND917809:OND917816 OWZ917809:OWZ917816 PGV917809:PGV917816 PQR917809:PQR917816 QAN917809:QAN917816 QKJ917809:QKJ917816 QUF917809:QUF917816 REB917809:REB917816 RNX917809:RNX917816 RXT917809:RXT917816 SHP917809:SHP917816 SRL917809:SRL917816 TBH917809:TBH917816 TLD917809:TLD917816 TUZ917809:TUZ917816 UEV917809:UEV917816 UOR917809:UOR917816 UYN917809:UYN917816 VIJ917809:VIJ917816 VSF917809:VSF917816 WCB917809:WCB917816 WLX917809:WLX917816 WVT917809:WVT917816 L983345:L983352 JH983345:JH983352 TD983345:TD983352 ACZ983345:ACZ983352 AMV983345:AMV983352 AWR983345:AWR983352 BGN983345:BGN983352 BQJ983345:BQJ983352 CAF983345:CAF983352 CKB983345:CKB983352 CTX983345:CTX983352 DDT983345:DDT983352 DNP983345:DNP983352 DXL983345:DXL983352 EHH983345:EHH983352 ERD983345:ERD983352 FAZ983345:FAZ983352 FKV983345:FKV983352 FUR983345:FUR983352 GEN983345:GEN983352 GOJ983345:GOJ983352 GYF983345:GYF983352 HIB983345:HIB983352 HRX983345:HRX983352 IBT983345:IBT983352 ILP983345:ILP983352 IVL983345:IVL983352 JFH983345:JFH983352 JPD983345:JPD983352 JYZ983345:JYZ983352 KIV983345:KIV983352 KSR983345:KSR983352 LCN983345:LCN983352 LMJ983345:LMJ983352 LWF983345:LWF983352 MGB983345:MGB983352 MPX983345:MPX983352 MZT983345:MZT983352 NJP983345:NJP983352 NTL983345:NTL983352 ODH983345:ODH983352 OND983345:OND983352 OWZ983345:OWZ983352 PGV983345:PGV983352 PQR983345:PQR983352 QAN983345:QAN983352 QKJ983345:QKJ983352 QUF983345:QUF983352 REB983345:REB983352 RNX983345:RNX983352 RXT983345:RXT983352 SHP983345:SHP983352 SRL983345:SRL983352 TBH983345:TBH983352 TLD983345:TLD983352 TUZ983345:TUZ983352 UEV983345:UEV983352 UOR983345:UOR983352 UYN983345:UYN983352 VIJ983345:VIJ983352 VSF983345:VSF983352 WCB983345:WCB983352 WLX983345:WLX983352 WVT983345:WVT983352" xr:uid="{00000000-0002-0000-0100-000000000000}">
      <formula1>$H$417:$H$422</formula1>
    </dataValidation>
    <dataValidation type="list" allowBlank="1" showInputMessage="1" showErrorMessage="1" sqref="JG237:JG357 K236:K358 TC237:TC357 ACY237:ACY357 AMU237:AMU357 AWQ237:AWQ357 BGM237:BGM357 BQI237:BQI357 CAE237:CAE357 CKA237:CKA357 CTW237:CTW357 DDS237:DDS357 DNO237:DNO357 DXK237:DXK357 EHG237:EHG357 ERC237:ERC357 FAY237:FAY357 FKU237:FKU357 FUQ237:FUQ357 GEM237:GEM357 GOI237:GOI357 GYE237:GYE357 HIA237:HIA357 HRW237:HRW357 IBS237:IBS357 ILO237:ILO357 IVK237:IVK357 JFG237:JFG357 JPC237:JPC357 JYY237:JYY357 KIU237:KIU357 KSQ237:KSQ357 LCM237:LCM357 LMI237:LMI357 LWE237:LWE357 MGA237:MGA357 MPW237:MPW357 MZS237:MZS357 NJO237:NJO357 NTK237:NTK357 ODG237:ODG357 ONC237:ONC357 OWY237:OWY357 PGU237:PGU357 PQQ237:PQQ357 QAM237:QAM357 QKI237:QKI357 QUE237:QUE357 REA237:REA357 RNW237:RNW357 RXS237:RXS357 SHO237:SHO357 SRK237:SRK357 TBG237:TBG357 TLC237:TLC357 TUY237:TUY357 UEU237:UEU357 UOQ237:UOQ357 UYM237:UYM357 VII237:VII357 VSE237:VSE357 WCA237:WCA357 WLW237:WLW357 WVS237:WVS357 K65855:K65893 JG65855:JG65893 TC65855:TC65893 ACY65855:ACY65893 AMU65855:AMU65893 AWQ65855:AWQ65893 BGM65855:BGM65893 BQI65855:BQI65893 CAE65855:CAE65893 CKA65855:CKA65893 CTW65855:CTW65893 DDS65855:DDS65893 DNO65855:DNO65893 DXK65855:DXK65893 EHG65855:EHG65893 ERC65855:ERC65893 FAY65855:FAY65893 FKU65855:FKU65893 FUQ65855:FUQ65893 GEM65855:GEM65893 GOI65855:GOI65893 GYE65855:GYE65893 HIA65855:HIA65893 HRW65855:HRW65893 IBS65855:IBS65893 ILO65855:ILO65893 IVK65855:IVK65893 JFG65855:JFG65893 JPC65855:JPC65893 JYY65855:JYY65893 KIU65855:KIU65893 KSQ65855:KSQ65893 LCM65855:LCM65893 LMI65855:LMI65893 LWE65855:LWE65893 MGA65855:MGA65893 MPW65855:MPW65893 MZS65855:MZS65893 NJO65855:NJO65893 NTK65855:NTK65893 ODG65855:ODG65893 ONC65855:ONC65893 OWY65855:OWY65893 PGU65855:PGU65893 PQQ65855:PQQ65893 QAM65855:QAM65893 QKI65855:QKI65893 QUE65855:QUE65893 REA65855:REA65893 RNW65855:RNW65893 RXS65855:RXS65893 SHO65855:SHO65893 SRK65855:SRK65893 TBG65855:TBG65893 TLC65855:TLC65893 TUY65855:TUY65893 UEU65855:UEU65893 UOQ65855:UOQ65893 UYM65855:UYM65893 VII65855:VII65893 VSE65855:VSE65893 WCA65855:WCA65893 WLW65855:WLW65893 WVS65855:WVS65893 K131391:K131429 JG131391:JG131429 TC131391:TC131429 ACY131391:ACY131429 AMU131391:AMU131429 AWQ131391:AWQ131429 BGM131391:BGM131429 BQI131391:BQI131429 CAE131391:CAE131429 CKA131391:CKA131429 CTW131391:CTW131429 DDS131391:DDS131429 DNO131391:DNO131429 DXK131391:DXK131429 EHG131391:EHG131429 ERC131391:ERC131429 FAY131391:FAY131429 FKU131391:FKU131429 FUQ131391:FUQ131429 GEM131391:GEM131429 GOI131391:GOI131429 GYE131391:GYE131429 HIA131391:HIA131429 HRW131391:HRW131429 IBS131391:IBS131429 ILO131391:ILO131429 IVK131391:IVK131429 JFG131391:JFG131429 JPC131391:JPC131429 JYY131391:JYY131429 KIU131391:KIU131429 KSQ131391:KSQ131429 LCM131391:LCM131429 LMI131391:LMI131429 LWE131391:LWE131429 MGA131391:MGA131429 MPW131391:MPW131429 MZS131391:MZS131429 NJO131391:NJO131429 NTK131391:NTK131429 ODG131391:ODG131429 ONC131391:ONC131429 OWY131391:OWY131429 PGU131391:PGU131429 PQQ131391:PQQ131429 QAM131391:QAM131429 QKI131391:QKI131429 QUE131391:QUE131429 REA131391:REA131429 RNW131391:RNW131429 RXS131391:RXS131429 SHO131391:SHO131429 SRK131391:SRK131429 TBG131391:TBG131429 TLC131391:TLC131429 TUY131391:TUY131429 UEU131391:UEU131429 UOQ131391:UOQ131429 UYM131391:UYM131429 VII131391:VII131429 VSE131391:VSE131429 WCA131391:WCA131429 WLW131391:WLW131429 WVS131391:WVS131429 K196927:K196965 JG196927:JG196965 TC196927:TC196965 ACY196927:ACY196965 AMU196927:AMU196965 AWQ196927:AWQ196965 BGM196927:BGM196965 BQI196927:BQI196965 CAE196927:CAE196965 CKA196927:CKA196965 CTW196927:CTW196965 DDS196927:DDS196965 DNO196927:DNO196965 DXK196927:DXK196965 EHG196927:EHG196965 ERC196927:ERC196965 FAY196927:FAY196965 FKU196927:FKU196965 FUQ196927:FUQ196965 GEM196927:GEM196965 GOI196927:GOI196965 GYE196927:GYE196965 HIA196927:HIA196965 HRW196927:HRW196965 IBS196927:IBS196965 ILO196927:ILO196965 IVK196927:IVK196965 JFG196927:JFG196965 JPC196927:JPC196965 JYY196927:JYY196965 KIU196927:KIU196965 KSQ196927:KSQ196965 LCM196927:LCM196965 LMI196927:LMI196965 LWE196927:LWE196965 MGA196927:MGA196965 MPW196927:MPW196965 MZS196927:MZS196965 NJO196927:NJO196965 NTK196927:NTK196965 ODG196927:ODG196965 ONC196927:ONC196965 OWY196927:OWY196965 PGU196927:PGU196965 PQQ196927:PQQ196965 QAM196927:QAM196965 QKI196927:QKI196965 QUE196927:QUE196965 REA196927:REA196965 RNW196927:RNW196965 RXS196927:RXS196965 SHO196927:SHO196965 SRK196927:SRK196965 TBG196927:TBG196965 TLC196927:TLC196965 TUY196927:TUY196965 UEU196927:UEU196965 UOQ196927:UOQ196965 UYM196927:UYM196965 VII196927:VII196965 VSE196927:VSE196965 WCA196927:WCA196965 WLW196927:WLW196965 WVS196927:WVS196965 K262463:K262501 JG262463:JG262501 TC262463:TC262501 ACY262463:ACY262501 AMU262463:AMU262501 AWQ262463:AWQ262501 BGM262463:BGM262501 BQI262463:BQI262501 CAE262463:CAE262501 CKA262463:CKA262501 CTW262463:CTW262501 DDS262463:DDS262501 DNO262463:DNO262501 DXK262463:DXK262501 EHG262463:EHG262501 ERC262463:ERC262501 FAY262463:FAY262501 FKU262463:FKU262501 FUQ262463:FUQ262501 GEM262463:GEM262501 GOI262463:GOI262501 GYE262463:GYE262501 HIA262463:HIA262501 HRW262463:HRW262501 IBS262463:IBS262501 ILO262463:ILO262501 IVK262463:IVK262501 JFG262463:JFG262501 JPC262463:JPC262501 JYY262463:JYY262501 KIU262463:KIU262501 KSQ262463:KSQ262501 LCM262463:LCM262501 LMI262463:LMI262501 LWE262463:LWE262501 MGA262463:MGA262501 MPW262463:MPW262501 MZS262463:MZS262501 NJO262463:NJO262501 NTK262463:NTK262501 ODG262463:ODG262501 ONC262463:ONC262501 OWY262463:OWY262501 PGU262463:PGU262501 PQQ262463:PQQ262501 QAM262463:QAM262501 QKI262463:QKI262501 QUE262463:QUE262501 REA262463:REA262501 RNW262463:RNW262501 RXS262463:RXS262501 SHO262463:SHO262501 SRK262463:SRK262501 TBG262463:TBG262501 TLC262463:TLC262501 TUY262463:TUY262501 UEU262463:UEU262501 UOQ262463:UOQ262501 UYM262463:UYM262501 VII262463:VII262501 VSE262463:VSE262501 WCA262463:WCA262501 WLW262463:WLW262501 WVS262463:WVS262501 K327999:K328037 JG327999:JG328037 TC327999:TC328037 ACY327999:ACY328037 AMU327999:AMU328037 AWQ327999:AWQ328037 BGM327999:BGM328037 BQI327999:BQI328037 CAE327999:CAE328037 CKA327999:CKA328037 CTW327999:CTW328037 DDS327999:DDS328037 DNO327999:DNO328037 DXK327999:DXK328037 EHG327999:EHG328037 ERC327999:ERC328037 FAY327999:FAY328037 FKU327999:FKU328037 FUQ327999:FUQ328037 GEM327999:GEM328037 GOI327999:GOI328037 GYE327999:GYE328037 HIA327999:HIA328037 HRW327999:HRW328037 IBS327999:IBS328037 ILO327999:ILO328037 IVK327999:IVK328037 JFG327999:JFG328037 JPC327999:JPC328037 JYY327999:JYY328037 KIU327999:KIU328037 KSQ327999:KSQ328037 LCM327999:LCM328037 LMI327999:LMI328037 LWE327999:LWE328037 MGA327999:MGA328037 MPW327999:MPW328037 MZS327999:MZS328037 NJO327999:NJO328037 NTK327999:NTK328037 ODG327999:ODG328037 ONC327999:ONC328037 OWY327999:OWY328037 PGU327999:PGU328037 PQQ327999:PQQ328037 QAM327999:QAM328037 QKI327999:QKI328037 QUE327999:QUE328037 REA327999:REA328037 RNW327999:RNW328037 RXS327999:RXS328037 SHO327999:SHO328037 SRK327999:SRK328037 TBG327999:TBG328037 TLC327999:TLC328037 TUY327999:TUY328037 UEU327999:UEU328037 UOQ327999:UOQ328037 UYM327999:UYM328037 VII327999:VII328037 VSE327999:VSE328037 WCA327999:WCA328037 WLW327999:WLW328037 WVS327999:WVS328037 K393535:K393573 JG393535:JG393573 TC393535:TC393573 ACY393535:ACY393573 AMU393535:AMU393573 AWQ393535:AWQ393573 BGM393535:BGM393573 BQI393535:BQI393573 CAE393535:CAE393573 CKA393535:CKA393573 CTW393535:CTW393573 DDS393535:DDS393573 DNO393535:DNO393573 DXK393535:DXK393573 EHG393535:EHG393573 ERC393535:ERC393573 FAY393535:FAY393573 FKU393535:FKU393573 FUQ393535:FUQ393573 GEM393535:GEM393573 GOI393535:GOI393573 GYE393535:GYE393573 HIA393535:HIA393573 HRW393535:HRW393573 IBS393535:IBS393573 ILO393535:ILO393573 IVK393535:IVK393573 JFG393535:JFG393573 JPC393535:JPC393573 JYY393535:JYY393573 KIU393535:KIU393573 KSQ393535:KSQ393573 LCM393535:LCM393573 LMI393535:LMI393573 LWE393535:LWE393573 MGA393535:MGA393573 MPW393535:MPW393573 MZS393535:MZS393573 NJO393535:NJO393573 NTK393535:NTK393573 ODG393535:ODG393573 ONC393535:ONC393573 OWY393535:OWY393573 PGU393535:PGU393573 PQQ393535:PQQ393573 QAM393535:QAM393573 QKI393535:QKI393573 QUE393535:QUE393573 REA393535:REA393573 RNW393535:RNW393573 RXS393535:RXS393573 SHO393535:SHO393573 SRK393535:SRK393573 TBG393535:TBG393573 TLC393535:TLC393573 TUY393535:TUY393573 UEU393535:UEU393573 UOQ393535:UOQ393573 UYM393535:UYM393573 VII393535:VII393573 VSE393535:VSE393573 WCA393535:WCA393573 WLW393535:WLW393573 WVS393535:WVS393573 K459071:K459109 JG459071:JG459109 TC459071:TC459109 ACY459071:ACY459109 AMU459071:AMU459109 AWQ459071:AWQ459109 BGM459071:BGM459109 BQI459071:BQI459109 CAE459071:CAE459109 CKA459071:CKA459109 CTW459071:CTW459109 DDS459071:DDS459109 DNO459071:DNO459109 DXK459071:DXK459109 EHG459071:EHG459109 ERC459071:ERC459109 FAY459071:FAY459109 FKU459071:FKU459109 FUQ459071:FUQ459109 GEM459071:GEM459109 GOI459071:GOI459109 GYE459071:GYE459109 HIA459071:HIA459109 HRW459071:HRW459109 IBS459071:IBS459109 ILO459071:ILO459109 IVK459071:IVK459109 JFG459071:JFG459109 JPC459071:JPC459109 JYY459071:JYY459109 KIU459071:KIU459109 KSQ459071:KSQ459109 LCM459071:LCM459109 LMI459071:LMI459109 LWE459071:LWE459109 MGA459071:MGA459109 MPW459071:MPW459109 MZS459071:MZS459109 NJO459071:NJO459109 NTK459071:NTK459109 ODG459071:ODG459109 ONC459071:ONC459109 OWY459071:OWY459109 PGU459071:PGU459109 PQQ459071:PQQ459109 QAM459071:QAM459109 QKI459071:QKI459109 QUE459071:QUE459109 REA459071:REA459109 RNW459071:RNW459109 RXS459071:RXS459109 SHO459071:SHO459109 SRK459071:SRK459109 TBG459071:TBG459109 TLC459071:TLC459109 TUY459071:TUY459109 UEU459071:UEU459109 UOQ459071:UOQ459109 UYM459071:UYM459109 VII459071:VII459109 VSE459071:VSE459109 WCA459071:WCA459109 WLW459071:WLW459109 WVS459071:WVS459109 K524607:K524645 JG524607:JG524645 TC524607:TC524645 ACY524607:ACY524645 AMU524607:AMU524645 AWQ524607:AWQ524645 BGM524607:BGM524645 BQI524607:BQI524645 CAE524607:CAE524645 CKA524607:CKA524645 CTW524607:CTW524645 DDS524607:DDS524645 DNO524607:DNO524645 DXK524607:DXK524645 EHG524607:EHG524645 ERC524607:ERC524645 FAY524607:FAY524645 FKU524607:FKU524645 FUQ524607:FUQ524645 GEM524607:GEM524645 GOI524607:GOI524645 GYE524607:GYE524645 HIA524607:HIA524645 HRW524607:HRW524645 IBS524607:IBS524645 ILO524607:ILO524645 IVK524607:IVK524645 JFG524607:JFG524645 JPC524607:JPC524645 JYY524607:JYY524645 KIU524607:KIU524645 KSQ524607:KSQ524645 LCM524607:LCM524645 LMI524607:LMI524645 LWE524607:LWE524645 MGA524607:MGA524645 MPW524607:MPW524645 MZS524607:MZS524645 NJO524607:NJO524645 NTK524607:NTK524645 ODG524607:ODG524645 ONC524607:ONC524645 OWY524607:OWY524645 PGU524607:PGU524645 PQQ524607:PQQ524645 QAM524607:QAM524645 QKI524607:QKI524645 QUE524607:QUE524645 REA524607:REA524645 RNW524607:RNW524645 RXS524607:RXS524645 SHO524607:SHO524645 SRK524607:SRK524645 TBG524607:TBG524645 TLC524607:TLC524645 TUY524607:TUY524645 UEU524607:UEU524645 UOQ524607:UOQ524645 UYM524607:UYM524645 VII524607:VII524645 VSE524607:VSE524645 WCA524607:WCA524645 WLW524607:WLW524645 WVS524607:WVS524645 K590143:K590181 JG590143:JG590181 TC590143:TC590181 ACY590143:ACY590181 AMU590143:AMU590181 AWQ590143:AWQ590181 BGM590143:BGM590181 BQI590143:BQI590181 CAE590143:CAE590181 CKA590143:CKA590181 CTW590143:CTW590181 DDS590143:DDS590181 DNO590143:DNO590181 DXK590143:DXK590181 EHG590143:EHG590181 ERC590143:ERC590181 FAY590143:FAY590181 FKU590143:FKU590181 FUQ590143:FUQ590181 GEM590143:GEM590181 GOI590143:GOI590181 GYE590143:GYE590181 HIA590143:HIA590181 HRW590143:HRW590181 IBS590143:IBS590181 ILO590143:ILO590181 IVK590143:IVK590181 JFG590143:JFG590181 JPC590143:JPC590181 JYY590143:JYY590181 KIU590143:KIU590181 KSQ590143:KSQ590181 LCM590143:LCM590181 LMI590143:LMI590181 LWE590143:LWE590181 MGA590143:MGA590181 MPW590143:MPW590181 MZS590143:MZS590181 NJO590143:NJO590181 NTK590143:NTK590181 ODG590143:ODG590181 ONC590143:ONC590181 OWY590143:OWY590181 PGU590143:PGU590181 PQQ590143:PQQ590181 QAM590143:QAM590181 QKI590143:QKI590181 QUE590143:QUE590181 REA590143:REA590181 RNW590143:RNW590181 RXS590143:RXS590181 SHO590143:SHO590181 SRK590143:SRK590181 TBG590143:TBG590181 TLC590143:TLC590181 TUY590143:TUY590181 UEU590143:UEU590181 UOQ590143:UOQ590181 UYM590143:UYM590181 VII590143:VII590181 VSE590143:VSE590181 WCA590143:WCA590181 WLW590143:WLW590181 WVS590143:WVS590181 K655679:K655717 JG655679:JG655717 TC655679:TC655717 ACY655679:ACY655717 AMU655679:AMU655717 AWQ655679:AWQ655717 BGM655679:BGM655717 BQI655679:BQI655717 CAE655679:CAE655717 CKA655679:CKA655717 CTW655679:CTW655717 DDS655679:DDS655717 DNO655679:DNO655717 DXK655679:DXK655717 EHG655679:EHG655717 ERC655679:ERC655717 FAY655679:FAY655717 FKU655679:FKU655717 FUQ655679:FUQ655717 GEM655679:GEM655717 GOI655679:GOI655717 GYE655679:GYE655717 HIA655679:HIA655717 HRW655679:HRW655717 IBS655679:IBS655717 ILO655679:ILO655717 IVK655679:IVK655717 JFG655679:JFG655717 JPC655679:JPC655717 JYY655679:JYY655717 KIU655679:KIU655717 KSQ655679:KSQ655717 LCM655679:LCM655717 LMI655679:LMI655717 LWE655679:LWE655717 MGA655679:MGA655717 MPW655679:MPW655717 MZS655679:MZS655717 NJO655679:NJO655717 NTK655679:NTK655717 ODG655679:ODG655717 ONC655679:ONC655717 OWY655679:OWY655717 PGU655679:PGU655717 PQQ655679:PQQ655717 QAM655679:QAM655717 QKI655679:QKI655717 QUE655679:QUE655717 REA655679:REA655717 RNW655679:RNW655717 RXS655679:RXS655717 SHO655679:SHO655717 SRK655679:SRK655717 TBG655679:TBG655717 TLC655679:TLC655717 TUY655679:TUY655717 UEU655679:UEU655717 UOQ655679:UOQ655717 UYM655679:UYM655717 VII655679:VII655717 VSE655679:VSE655717 WCA655679:WCA655717 WLW655679:WLW655717 WVS655679:WVS655717 K721215:K721253 JG721215:JG721253 TC721215:TC721253 ACY721215:ACY721253 AMU721215:AMU721253 AWQ721215:AWQ721253 BGM721215:BGM721253 BQI721215:BQI721253 CAE721215:CAE721253 CKA721215:CKA721253 CTW721215:CTW721253 DDS721215:DDS721253 DNO721215:DNO721253 DXK721215:DXK721253 EHG721215:EHG721253 ERC721215:ERC721253 FAY721215:FAY721253 FKU721215:FKU721253 FUQ721215:FUQ721253 GEM721215:GEM721253 GOI721215:GOI721253 GYE721215:GYE721253 HIA721215:HIA721253 HRW721215:HRW721253 IBS721215:IBS721253 ILO721215:ILO721253 IVK721215:IVK721253 JFG721215:JFG721253 JPC721215:JPC721253 JYY721215:JYY721253 KIU721215:KIU721253 KSQ721215:KSQ721253 LCM721215:LCM721253 LMI721215:LMI721253 LWE721215:LWE721253 MGA721215:MGA721253 MPW721215:MPW721253 MZS721215:MZS721253 NJO721215:NJO721253 NTK721215:NTK721253 ODG721215:ODG721253 ONC721215:ONC721253 OWY721215:OWY721253 PGU721215:PGU721253 PQQ721215:PQQ721253 QAM721215:QAM721253 QKI721215:QKI721253 QUE721215:QUE721253 REA721215:REA721253 RNW721215:RNW721253 RXS721215:RXS721253 SHO721215:SHO721253 SRK721215:SRK721253 TBG721215:TBG721253 TLC721215:TLC721253 TUY721215:TUY721253 UEU721215:UEU721253 UOQ721215:UOQ721253 UYM721215:UYM721253 VII721215:VII721253 VSE721215:VSE721253 WCA721215:WCA721253 WLW721215:WLW721253 WVS721215:WVS721253 K786751:K786789 JG786751:JG786789 TC786751:TC786789 ACY786751:ACY786789 AMU786751:AMU786789 AWQ786751:AWQ786789 BGM786751:BGM786789 BQI786751:BQI786789 CAE786751:CAE786789 CKA786751:CKA786789 CTW786751:CTW786789 DDS786751:DDS786789 DNO786751:DNO786789 DXK786751:DXK786789 EHG786751:EHG786789 ERC786751:ERC786789 FAY786751:FAY786789 FKU786751:FKU786789 FUQ786751:FUQ786789 GEM786751:GEM786789 GOI786751:GOI786789 GYE786751:GYE786789 HIA786751:HIA786789 HRW786751:HRW786789 IBS786751:IBS786789 ILO786751:ILO786789 IVK786751:IVK786789 JFG786751:JFG786789 JPC786751:JPC786789 JYY786751:JYY786789 KIU786751:KIU786789 KSQ786751:KSQ786789 LCM786751:LCM786789 LMI786751:LMI786789 LWE786751:LWE786789 MGA786751:MGA786789 MPW786751:MPW786789 MZS786751:MZS786789 NJO786751:NJO786789 NTK786751:NTK786789 ODG786751:ODG786789 ONC786751:ONC786789 OWY786751:OWY786789 PGU786751:PGU786789 PQQ786751:PQQ786789 QAM786751:QAM786789 QKI786751:QKI786789 QUE786751:QUE786789 REA786751:REA786789 RNW786751:RNW786789 RXS786751:RXS786789 SHO786751:SHO786789 SRK786751:SRK786789 TBG786751:TBG786789 TLC786751:TLC786789 TUY786751:TUY786789 UEU786751:UEU786789 UOQ786751:UOQ786789 UYM786751:UYM786789 VII786751:VII786789 VSE786751:VSE786789 WCA786751:WCA786789 WLW786751:WLW786789 WVS786751:WVS786789 K852287:K852325 JG852287:JG852325 TC852287:TC852325 ACY852287:ACY852325 AMU852287:AMU852325 AWQ852287:AWQ852325 BGM852287:BGM852325 BQI852287:BQI852325 CAE852287:CAE852325 CKA852287:CKA852325 CTW852287:CTW852325 DDS852287:DDS852325 DNO852287:DNO852325 DXK852287:DXK852325 EHG852287:EHG852325 ERC852287:ERC852325 FAY852287:FAY852325 FKU852287:FKU852325 FUQ852287:FUQ852325 GEM852287:GEM852325 GOI852287:GOI852325 GYE852287:GYE852325 HIA852287:HIA852325 HRW852287:HRW852325 IBS852287:IBS852325 ILO852287:ILO852325 IVK852287:IVK852325 JFG852287:JFG852325 JPC852287:JPC852325 JYY852287:JYY852325 KIU852287:KIU852325 KSQ852287:KSQ852325 LCM852287:LCM852325 LMI852287:LMI852325 LWE852287:LWE852325 MGA852287:MGA852325 MPW852287:MPW852325 MZS852287:MZS852325 NJO852287:NJO852325 NTK852287:NTK852325 ODG852287:ODG852325 ONC852287:ONC852325 OWY852287:OWY852325 PGU852287:PGU852325 PQQ852287:PQQ852325 QAM852287:QAM852325 QKI852287:QKI852325 QUE852287:QUE852325 REA852287:REA852325 RNW852287:RNW852325 RXS852287:RXS852325 SHO852287:SHO852325 SRK852287:SRK852325 TBG852287:TBG852325 TLC852287:TLC852325 TUY852287:TUY852325 UEU852287:UEU852325 UOQ852287:UOQ852325 UYM852287:UYM852325 VII852287:VII852325 VSE852287:VSE852325 WCA852287:WCA852325 WLW852287:WLW852325 WVS852287:WVS852325 K917823:K917861 JG917823:JG917861 TC917823:TC917861 ACY917823:ACY917861 AMU917823:AMU917861 AWQ917823:AWQ917861 BGM917823:BGM917861 BQI917823:BQI917861 CAE917823:CAE917861 CKA917823:CKA917861 CTW917823:CTW917861 DDS917823:DDS917861 DNO917823:DNO917861 DXK917823:DXK917861 EHG917823:EHG917861 ERC917823:ERC917861 FAY917823:FAY917861 FKU917823:FKU917861 FUQ917823:FUQ917861 GEM917823:GEM917861 GOI917823:GOI917861 GYE917823:GYE917861 HIA917823:HIA917861 HRW917823:HRW917861 IBS917823:IBS917861 ILO917823:ILO917861 IVK917823:IVK917861 JFG917823:JFG917861 JPC917823:JPC917861 JYY917823:JYY917861 KIU917823:KIU917861 KSQ917823:KSQ917861 LCM917823:LCM917861 LMI917823:LMI917861 LWE917823:LWE917861 MGA917823:MGA917861 MPW917823:MPW917861 MZS917823:MZS917861 NJO917823:NJO917861 NTK917823:NTK917861 ODG917823:ODG917861 ONC917823:ONC917861 OWY917823:OWY917861 PGU917823:PGU917861 PQQ917823:PQQ917861 QAM917823:QAM917861 QKI917823:QKI917861 QUE917823:QUE917861 REA917823:REA917861 RNW917823:RNW917861 RXS917823:RXS917861 SHO917823:SHO917861 SRK917823:SRK917861 TBG917823:TBG917861 TLC917823:TLC917861 TUY917823:TUY917861 UEU917823:UEU917861 UOQ917823:UOQ917861 UYM917823:UYM917861 VII917823:VII917861 VSE917823:VSE917861 WCA917823:WCA917861 WLW917823:WLW917861 WVS917823:WVS917861 K983359:K983397 JG983359:JG983397 TC983359:TC983397 ACY983359:ACY983397 AMU983359:AMU983397 AWQ983359:AWQ983397 BGM983359:BGM983397 BQI983359:BQI983397 CAE983359:CAE983397 CKA983359:CKA983397 CTW983359:CTW983397 DDS983359:DDS983397 DNO983359:DNO983397 DXK983359:DXK983397 EHG983359:EHG983397 ERC983359:ERC983397 FAY983359:FAY983397 FKU983359:FKU983397 FUQ983359:FUQ983397 GEM983359:GEM983397 GOI983359:GOI983397 GYE983359:GYE983397 HIA983359:HIA983397 HRW983359:HRW983397 IBS983359:IBS983397 ILO983359:ILO983397 IVK983359:IVK983397 JFG983359:JFG983397 JPC983359:JPC983397 JYY983359:JYY983397 KIU983359:KIU983397 KSQ983359:KSQ983397 LCM983359:LCM983397 LMI983359:LMI983397 LWE983359:LWE983397 MGA983359:MGA983397 MPW983359:MPW983397 MZS983359:MZS983397 NJO983359:NJO983397 NTK983359:NTK983397 ODG983359:ODG983397 ONC983359:ONC983397 OWY983359:OWY983397 PGU983359:PGU983397 PQQ983359:PQQ983397 QAM983359:QAM983397 QKI983359:QKI983397 QUE983359:QUE983397 REA983359:REA983397 RNW983359:RNW983397 RXS983359:RXS983397 SHO983359:SHO983397 SRK983359:SRK983397 TBG983359:TBG983397 TLC983359:TLC983397 TUY983359:TUY983397 UEU983359:UEU983397 UOQ983359:UOQ983397 UYM983359:UYM983397 VII983359:VII983397 VSE983359:VSE983397 WCA983359:WCA983397 WLW983359:WLW983397 WVS983359:WVS983397 K222:K230 JG222:JG229 TC222:TC229 ACY222:ACY229 AMU222:AMU229 AWQ222:AWQ229 BGM222:BGM229 BQI222:BQI229 CAE222:CAE229 CKA222:CKA229 CTW222:CTW229 DDS222:DDS229 DNO222:DNO229 DXK222:DXK229 EHG222:EHG229 ERC222:ERC229 FAY222:FAY229 FKU222:FKU229 FUQ222:FUQ229 GEM222:GEM229 GOI222:GOI229 GYE222:GYE229 HIA222:HIA229 HRW222:HRW229 IBS222:IBS229 ILO222:ILO229 IVK222:IVK229 JFG222:JFG229 JPC222:JPC229 JYY222:JYY229 KIU222:KIU229 KSQ222:KSQ229 LCM222:LCM229 LMI222:LMI229 LWE222:LWE229 MGA222:MGA229 MPW222:MPW229 MZS222:MZS229 NJO222:NJO229 NTK222:NTK229 ODG222:ODG229 ONC222:ONC229 OWY222:OWY229 PGU222:PGU229 PQQ222:PQQ229 QAM222:QAM229 QKI222:QKI229 QUE222:QUE229 REA222:REA229 RNW222:RNW229 RXS222:RXS229 SHO222:SHO229 SRK222:SRK229 TBG222:TBG229 TLC222:TLC229 TUY222:TUY229 UEU222:UEU229 UOQ222:UOQ229 UYM222:UYM229 VII222:VII229 VSE222:VSE229 WCA222:WCA229 WLW222:WLW229 WVS222:WVS229 K65841:K65848 JG65841:JG65848 TC65841:TC65848 ACY65841:ACY65848 AMU65841:AMU65848 AWQ65841:AWQ65848 BGM65841:BGM65848 BQI65841:BQI65848 CAE65841:CAE65848 CKA65841:CKA65848 CTW65841:CTW65848 DDS65841:DDS65848 DNO65841:DNO65848 DXK65841:DXK65848 EHG65841:EHG65848 ERC65841:ERC65848 FAY65841:FAY65848 FKU65841:FKU65848 FUQ65841:FUQ65848 GEM65841:GEM65848 GOI65841:GOI65848 GYE65841:GYE65848 HIA65841:HIA65848 HRW65841:HRW65848 IBS65841:IBS65848 ILO65841:ILO65848 IVK65841:IVK65848 JFG65841:JFG65848 JPC65841:JPC65848 JYY65841:JYY65848 KIU65841:KIU65848 KSQ65841:KSQ65848 LCM65841:LCM65848 LMI65841:LMI65848 LWE65841:LWE65848 MGA65841:MGA65848 MPW65841:MPW65848 MZS65841:MZS65848 NJO65841:NJO65848 NTK65841:NTK65848 ODG65841:ODG65848 ONC65841:ONC65848 OWY65841:OWY65848 PGU65841:PGU65848 PQQ65841:PQQ65848 QAM65841:QAM65848 QKI65841:QKI65848 QUE65841:QUE65848 REA65841:REA65848 RNW65841:RNW65848 RXS65841:RXS65848 SHO65841:SHO65848 SRK65841:SRK65848 TBG65841:TBG65848 TLC65841:TLC65848 TUY65841:TUY65848 UEU65841:UEU65848 UOQ65841:UOQ65848 UYM65841:UYM65848 VII65841:VII65848 VSE65841:VSE65848 WCA65841:WCA65848 WLW65841:WLW65848 WVS65841:WVS65848 K131377:K131384 JG131377:JG131384 TC131377:TC131384 ACY131377:ACY131384 AMU131377:AMU131384 AWQ131377:AWQ131384 BGM131377:BGM131384 BQI131377:BQI131384 CAE131377:CAE131384 CKA131377:CKA131384 CTW131377:CTW131384 DDS131377:DDS131384 DNO131377:DNO131384 DXK131377:DXK131384 EHG131377:EHG131384 ERC131377:ERC131384 FAY131377:FAY131384 FKU131377:FKU131384 FUQ131377:FUQ131384 GEM131377:GEM131384 GOI131377:GOI131384 GYE131377:GYE131384 HIA131377:HIA131384 HRW131377:HRW131384 IBS131377:IBS131384 ILO131377:ILO131384 IVK131377:IVK131384 JFG131377:JFG131384 JPC131377:JPC131384 JYY131377:JYY131384 KIU131377:KIU131384 KSQ131377:KSQ131384 LCM131377:LCM131384 LMI131377:LMI131384 LWE131377:LWE131384 MGA131377:MGA131384 MPW131377:MPW131384 MZS131377:MZS131384 NJO131377:NJO131384 NTK131377:NTK131384 ODG131377:ODG131384 ONC131377:ONC131384 OWY131377:OWY131384 PGU131377:PGU131384 PQQ131377:PQQ131384 QAM131377:QAM131384 QKI131377:QKI131384 QUE131377:QUE131384 REA131377:REA131384 RNW131377:RNW131384 RXS131377:RXS131384 SHO131377:SHO131384 SRK131377:SRK131384 TBG131377:TBG131384 TLC131377:TLC131384 TUY131377:TUY131384 UEU131377:UEU131384 UOQ131377:UOQ131384 UYM131377:UYM131384 VII131377:VII131384 VSE131377:VSE131384 WCA131377:WCA131384 WLW131377:WLW131384 WVS131377:WVS131384 K196913:K196920 JG196913:JG196920 TC196913:TC196920 ACY196913:ACY196920 AMU196913:AMU196920 AWQ196913:AWQ196920 BGM196913:BGM196920 BQI196913:BQI196920 CAE196913:CAE196920 CKA196913:CKA196920 CTW196913:CTW196920 DDS196913:DDS196920 DNO196913:DNO196920 DXK196913:DXK196920 EHG196913:EHG196920 ERC196913:ERC196920 FAY196913:FAY196920 FKU196913:FKU196920 FUQ196913:FUQ196920 GEM196913:GEM196920 GOI196913:GOI196920 GYE196913:GYE196920 HIA196913:HIA196920 HRW196913:HRW196920 IBS196913:IBS196920 ILO196913:ILO196920 IVK196913:IVK196920 JFG196913:JFG196920 JPC196913:JPC196920 JYY196913:JYY196920 KIU196913:KIU196920 KSQ196913:KSQ196920 LCM196913:LCM196920 LMI196913:LMI196920 LWE196913:LWE196920 MGA196913:MGA196920 MPW196913:MPW196920 MZS196913:MZS196920 NJO196913:NJO196920 NTK196913:NTK196920 ODG196913:ODG196920 ONC196913:ONC196920 OWY196913:OWY196920 PGU196913:PGU196920 PQQ196913:PQQ196920 QAM196913:QAM196920 QKI196913:QKI196920 QUE196913:QUE196920 REA196913:REA196920 RNW196913:RNW196920 RXS196913:RXS196920 SHO196913:SHO196920 SRK196913:SRK196920 TBG196913:TBG196920 TLC196913:TLC196920 TUY196913:TUY196920 UEU196913:UEU196920 UOQ196913:UOQ196920 UYM196913:UYM196920 VII196913:VII196920 VSE196913:VSE196920 WCA196913:WCA196920 WLW196913:WLW196920 WVS196913:WVS196920 K262449:K262456 JG262449:JG262456 TC262449:TC262456 ACY262449:ACY262456 AMU262449:AMU262456 AWQ262449:AWQ262456 BGM262449:BGM262456 BQI262449:BQI262456 CAE262449:CAE262456 CKA262449:CKA262456 CTW262449:CTW262456 DDS262449:DDS262456 DNO262449:DNO262456 DXK262449:DXK262456 EHG262449:EHG262456 ERC262449:ERC262456 FAY262449:FAY262456 FKU262449:FKU262456 FUQ262449:FUQ262456 GEM262449:GEM262456 GOI262449:GOI262456 GYE262449:GYE262456 HIA262449:HIA262456 HRW262449:HRW262456 IBS262449:IBS262456 ILO262449:ILO262456 IVK262449:IVK262456 JFG262449:JFG262456 JPC262449:JPC262456 JYY262449:JYY262456 KIU262449:KIU262456 KSQ262449:KSQ262456 LCM262449:LCM262456 LMI262449:LMI262456 LWE262449:LWE262456 MGA262449:MGA262456 MPW262449:MPW262456 MZS262449:MZS262456 NJO262449:NJO262456 NTK262449:NTK262456 ODG262449:ODG262456 ONC262449:ONC262456 OWY262449:OWY262456 PGU262449:PGU262456 PQQ262449:PQQ262456 QAM262449:QAM262456 QKI262449:QKI262456 QUE262449:QUE262456 REA262449:REA262456 RNW262449:RNW262456 RXS262449:RXS262456 SHO262449:SHO262456 SRK262449:SRK262456 TBG262449:TBG262456 TLC262449:TLC262456 TUY262449:TUY262456 UEU262449:UEU262456 UOQ262449:UOQ262456 UYM262449:UYM262456 VII262449:VII262456 VSE262449:VSE262456 WCA262449:WCA262456 WLW262449:WLW262456 WVS262449:WVS262456 K327985:K327992 JG327985:JG327992 TC327985:TC327992 ACY327985:ACY327992 AMU327985:AMU327992 AWQ327985:AWQ327992 BGM327985:BGM327992 BQI327985:BQI327992 CAE327985:CAE327992 CKA327985:CKA327992 CTW327985:CTW327992 DDS327985:DDS327992 DNO327985:DNO327992 DXK327985:DXK327992 EHG327985:EHG327992 ERC327985:ERC327992 FAY327985:FAY327992 FKU327985:FKU327992 FUQ327985:FUQ327992 GEM327985:GEM327992 GOI327985:GOI327992 GYE327985:GYE327992 HIA327985:HIA327992 HRW327985:HRW327992 IBS327985:IBS327992 ILO327985:ILO327992 IVK327985:IVK327992 JFG327985:JFG327992 JPC327985:JPC327992 JYY327985:JYY327992 KIU327985:KIU327992 KSQ327985:KSQ327992 LCM327985:LCM327992 LMI327985:LMI327992 LWE327985:LWE327992 MGA327985:MGA327992 MPW327985:MPW327992 MZS327985:MZS327992 NJO327985:NJO327992 NTK327985:NTK327992 ODG327985:ODG327992 ONC327985:ONC327992 OWY327985:OWY327992 PGU327985:PGU327992 PQQ327985:PQQ327992 QAM327985:QAM327992 QKI327985:QKI327992 QUE327985:QUE327992 REA327985:REA327992 RNW327985:RNW327992 RXS327985:RXS327992 SHO327985:SHO327992 SRK327985:SRK327992 TBG327985:TBG327992 TLC327985:TLC327992 TUY327985:TUY327992 UEU327985:UEU327992 UOQ327985:UOQ327992 UYM327985:UYM327992 VII327985:VII327992 VSE327985:VSE327992 WCA327985:WCA327992 WLW327985:WLW327992 WVS327985:WVS327992 K393521:K393528 JG393521:JG393528 TC393521:TC393528 ACY393521:ACY393528 AMU393521:AMU393528 AWQ393521:AWQ393528 BGM393521:BGM393528 BQI393521:BQI393528 CAE393521:CAE393528 CKA393521:CKA393528 CTW393521:CTW393528 DDS393521:DDS393528 DNO393521:DNO393528 DXK393521:DXK393528 EHG393521:EHG393528 ERC393521:ERC393528 FAY393521:FAY393528 FKU393521:FKU393528 FUQ393521:FUQ393528 GEM393521:GEM393528 GOI393521:GOI393528 GYE393521:GYE393528 HIA393521:HIA393528 HRW393521:HRW393528 IBS393521:IBS393528 ILO393521:ILO393528 IVK393521:IVK393528 JFG393521:JFG393528 JPC393521:JPC393528 JYY393521:JYY393528 KIU393521:KIU393528 KSQ393521:KSQ393528 LCM393521:LCM393528 LMI393521:LMI393528 LWE393521:LWE393528 MGA393521:MGA393528 MPW393521:MPW393528 MZS393521:MZS393528 NJO393521:NJO393528 NTK393521:NTK393528 ODG393521:ODG393528 ONC393521:ONC393528 OWY393521:OWY393528 PGU393521:PGU393528 PQQ393521:PQQ393528 QAM393521:QAM393528 QKI393521:QKI393528 QUE393521:QUE393528 REA393521:REA393528 RNW393521:RNW393528 RXS393521:RXS393528 SHO393521:SHO393528 SRK393521:SRK393528 TBG393521:TBG393528 TLC393521:TLC393528 TUY393521:TUY393528 UEU393521:UEU393528 UOQ393521:UOQ393528 UYM393521:UYM393528 VII393521:VII393528 VSE393521:VSE393528 WCA393521:WCA393528 WLW393521:WLW393528 WVS393521:WVS393528 K459057:K459064 JG459057:JG459064 TC459057:TC459064 ACY459057:ACY459064 AMU459057:AMU459064 AWQ459057:AWQ459064 BGM459057:BGM459064 BQI459057:BQI459064 CAE459057:CAE459064 CKA459057:CKA459064 CTW459057:CTW459064 DDS459057:DDS459064 DNO459057:DNO459064 DXK459057:DXK459064 EHG459057:EHG459064 ERC459057:ERC459064 FAY459057:FAY459064 FKU459057:FKU459064 FUQ459057:FUQ459064 GEM459057:GEM459064 GOI459057:GOI459064 GYE459057:GYE459064 HIA459057:HIA459064 HRW459057:HRW459064 IBS459057:IBS459064 ILO459057:ILO459064 IVK459057:IVK459064 JFG459057:JFG459064 JPC459057:JPC459064 JYY459057:JYY459064 KIU459057:KIU459064 KSQ459057:KSQ459064 LCM459057:LCM459064 LMI459057:LMI459064 LWE459057:LWE459064 MGA459057:MGA459064 MPW459057:MPW459064 MZS459057:MZS459064 NJO459057:NJO459064 NTK459057:NTK459064 ODG459057:ODG459064 ONC459057:ONC459064 OWY459057:OWY459064 PGU459057:PGU459064 PQQ459057:PQQ459064 QAM459057:QAM459064 QKI459057:QKI459064 QUE459057:QUE459064 REA459057:REA459064 RNW459057:RNW459064 RXS459057:RXS459064 SHO459057:SHO459064 SRK459057:SRK459064 TBG459057:TBG459064 TLC459057:TLC459064 TUY459057:TUY459064 UEU459057:UEU459064 UOQ459057:UOQ459064 UYM459057:UYM459064 VII459057:VII459064 VSE459057:VSE459064 WCA459057:WCA459064 WLW459057:WLW459064 WVS459057:WVS459064 K524593:K524600 JG524593:JG524600 TC524593:TC524600 ACY524593:ACY524600 AMU524593:AMU524600 AWQ524593:AWQ524600 BGM524593:BGM524600 BQI524593:BQI524600 CAE524593:CAE524600 CKA524593:CKA524600 CTW524593:CTW524600 DDS524593:DDS524600 DNO524593:DNO524600 DXK524593:DXK524600 EHG524593:EHG524600 ERC524593:ERC524600 FAY524593:FAY524600 FKU524593:FKU524600 FUQ524593:FUQ524600 GEM524593:GEM524600 GOI524593:GOI524600 GYE524593:GYE524600 HIA524593:HIA524600 HRW524593:HRW524600 IBS524593:IBS524600 ILO524593:ILO524600 IVK524593:IVK524600 JFG524593:JFG524600 JPC524593:JPC524600 JYY524593:JYY524600 KIU524593:KIU524600 KSQ524593:KSQ524600 LCM524593:LCM524600 LMI524593:LMI524600 LWE524593:LWE524600 MGA524593:MGA524600 MPW524593:MPW524600 MZS524593:MZS524600 NJO524593:NJO524600 NTK524593:NTK524600 ODG524593:ODG524600 ONC524593:ONC524600 OWY524593:OWY524600 PGU524593:PGU524600 PQQ524593:PQQ524600 QAM524593:QAM524600 QKI524593:QKI524600 QUE524593:QUE524600 REA524593:REA524600 RNW524593:RNW524600 RXS524593:RXS524600 SHO524593:SHO524600 SRK524593:SRK524600 TBG524593:TBG524600 TLC524593:TLC524600 TUY524593:TUY524600 UEU524593:UEU524600 UOQ524593:UOQ524600 UYM524593:UYM524600 VII524593:VII524600 VSE524593:VSE524600 WCA524593:WCA524600 WLW524593:WLW524600 WVS524593:WVS524600 K590129:K590136 JG590129:JG590136 TC590129:TC590136 ACY590129:ACY590136 AMU590129:AMU590136 AWQ590129:AWQ590136 BGM590129:BGM590136 BQI590129:BQI590136 CAE590129:CAE590136 CKA590129:CKA590136 CTW590129:CTW590136 DDS590129:DDS590136 DNO590129:DNO590136 DXK590129:DXK590136 EHG590129:EHG590136 ERC590129:ERC590136 FAY590129:FAY590136 FKU590129:FKU590136 FUQ590129:FUQ590136 GEM590129:GEM590136 GOI590129:GOI590136 GYE590129:GYE590136 HIA590129:HIA590136 HRW590129:HRW590136 IBS590129:IBS590136 ILO590129:ILO590136 IVK590129:IVK590136 JFG590129:JFG590136 JPC590129:JPC590136 JYY590129:JYY590136 KIU590129:KIU590136 KSQ590129:KSQ590136 LCM590129:LCM590136 LMI590129:LMI590136 LWE590129:LWE590136 MGA590129:MGA590136 MPW590129:MPW590136 MZS590129:MZS590136 NJO590129:NJO590136 NTK590129:NTK590136 ODG590129:ODG590136 ONC590129:ONC590136 OWY590129:OWY590136 PGU590129:PGU590136 PQQ590129:PQQ590136 QAM590129:QAM590136 QKI590129:QKI590136 QUE590129:QUE590136 REA590129:REA590136 RNW590129:RNW590136 RXS590129:RXS590136 SHO590129:SHO590136 SRK590129:SRK590136 TBG590129:TBG590136 TLC590129:TLC590136 TUY590129:TUY590136 UEU590129:UEU590136 UOQ590129:UOQ590136 UYM590129:UYM590136 VII590129:VII590136 VSE590129:VSE590136 WCA590129:WCA590136 WLW590129:WLW590136 WVS590129:WVS590136 K655665:K655672 JG655665:JG655672 TC655665:TC655672 ACY655665:ACY655672 AMU655665:AMU655672 AWQ655665:AWQ655672 BGM655665:BGM655672 BQI655665:BQI655672 CAE655665:CAE655672 CKA655665:CKA655672 CTW655665:CTW655672 DDS655665:DDS655672 DNO655665:DNO655672 DXK655665:DXK655672 EHG655665:EHG655672 ERC655665:ERC655672 FAY655665:FAY655672 FKU655665:FKU655672 FUQ655665:FUQ655672 GEM655665:GEM655672 GOI655665:GOI655672 GYE655665:GYE655672 HIA655665:HIA655672 HRW655665:HRW655672 IBS655665:IBS655672 ILO655665:ILO655672 IVK655665:IVK655672 JFG655665:JFG655672 JPC655665:JPC655672 JYY655665:JYY655672 KIU655665:KIU655672 KSQ655665:KSQ655672 LCM655665:LCM655672 LMI655665:LMI655672 LWE655665:LWE655672 MGA655665:MGA655672 MPW655665:MPW655672 MZS655665:MZS655672 NJO655665:NJO655672 NTK655665:NTK655672 ODG655665:ODG655672 ONC655665:ONC655672 OWY655665:OWY655672 PGU655665:PGU655672 PQQ655665:PQQ655672 QAM655665:QAM655672 QKI655665:QKI655672 QUE655665:QUE655672 REA655665:REA655672 RNW655665:RNW655672 RXS655665:RXS655672 SHO655665:SHO655672 SRK655665:SRK655672 TBG655665:TBG655672 TLC655665:TLC655672 TUY655665:TUY655672 UEU655665:UEU655672 UOQ655665:UOQ655672 UYM655665:UYM655672 VII655665:VII655672 VSE655665:VSE655672 WCA655665:WCA655672 WLW655665:WLW655672 WVS655665:WVS655672 K721201:K721208 JG721201:JG721208 TC721201:TC721208 ACY721201:ACY721208 AMU721201:AMU721208 AWQ721201:AWQ721208 BGM721201:BGM721208 BQI721201:BQI721208 CAE721201:CAE721208 CKA721201:CKA721208 CTW721201:CTW721208 DDS721201:DDS721208 DNO721201:DNO721208 DXK721201:DXK721208 EHG721201:EHG721208 ERC721201:ERC721208 FAY721201:FAY721208 FKU721201:FKU721208 FUQ721201:FUQ721208 GEM721201:GEM721208 GOI721201:GOI721208 GYE721201:GYE721208 HIA721201:HIA721208 HRW721201:HRW721208 IBS721201:IBS721208 ILO721201:ILO721208 IVK721201:IVK721208 JFG721201:JFG721208 JPC721201:JPC721208 JYY721201:JYY721208 KIU721201:KIU721208 KSQ721201:KSQ721208 LCM721201:LCM721208 LMI721201:LMI721208 LWE721201:LWE721208 MGA721201:MGA721208 MPW721201:MPW721208 MZS721201:MZS721208 NJO721201:NJO721208 NTK721201:NTK721208 ODG721201:ODG721208 ONC721201:ONC721208 OWY721201:OWY721208 PGU721201:PGU721208 PQQ721201:PQQ721208 QAM721201:QAM721208 QKI721201:QKI721208 QUE721201:QUE721208 REA721201:REA721208 RNW721201:RNW721208 RXS721201:RXS721208 SHO721201:SHO721208 SRK721201:SRK721208 TBG721201:TBG721208 TLC721201:TLC721208 TUY721201:TUY721208 UEU721201:UEU721208 UOQ721201:UOQ721208 UYM721201:UYM721208 VII721201:VII721208 VSE721201:VSE721208 WCA721201:WCA721208 WLW721201:WLW721208 WVS721201:WVS721208 K786737:K786744 JG786737:JG786744 TC786737:TC786744 ACY786737:ACY786744 AMU786737:AMU786744 AWQ786737:AWQ786744 BGM786737:BGM786744 BQI786737:BQI786744 CAE786737:CAE786744 CKA786737:CKA786744 CTW786737:CTW786744 DDS786737:DDS786744 DNO786737:DNO786744 DXK786737:DXK786744 EHG786737:EHG786744 ERC786737:ERC786744 FAY786737:FAY786744 FKU786737:FKU786744 FUQ786737:FUQ786744 GEM786737:GEM786744 GOI786737:GOI786744 GYE786737:GYE786744 HIA786737:HIA786744 HRW786737:HRW786744 IBS786737:IBS786744 ILO786737:ILO786744 IVK786737:IVK786744 JFG786737:JFG786744 JPC786737:JPC786744 JYY786737:JYY786744 KIU786737:KIU786744 KSQ786737:KSQ786744 LCM786737:LCM786744 LMI786737:LMI786744 LWE786737:LWE786744 MGA786737:MGA786744 MPW786737:MPW786744 MZS786737:MZS786744 NJO786737:NJO786744 NTK786737:NTK786744 ODG786737:ODG786744 ONC786737:ONC786744 OWY786737:OWY786744 PGU786737:PGU786744 PQQ786737:PQQ786744 QAM786737:QAM786744 QKI786737:QKI786744 QUE786737:QUE786744 REA786737:REA786744 RNW786737:RNW786744 RXS786737:RXS786744 SHO786737:SHO786744 SRK786737:SRK786744 TBG786737:TBG786744 TLC786737:TLC786744 TUY786737:TUY786744 UEU786737:UEU786744 UOQ786737:UOQ786744 UYM786737:UYM786744 VII786737:VII786744 VSE786737:VSE786744 WCA786737:WCA786744 WLW786737:WLW786744 WVS786737:WVS786744 K852273:K852280 JG852273:JG852280 TC852273:TC852280 ACY852273:ACY852280 AMU852273:AMU852280 AWQ852273:AWQ852280 BGM852273:BGM852280 BQI852273:BQI852280 CAE852273:CAE852280 CKA852273:CKA852280 CTW852273:CTW852280 DDS852273:DDS852280 DNO852273:DNO852280 DXK852273:DXK852280 EHG852273:EHG852280 ERC852273:ERC852280 FAY852273:FAY852280 FKU852273:FKU852280 FUQ852273:FUQ852280 GEM852273:GEM852280 GOI852273:GOI852280 GYE852273:GYE852280 HIA852273:HIA852280 HRW852273:HRW852280 IBS852273:IBS852280 ILO852273:ILO852280 IVK852273:IVK852280 JFG852273:JFG852280 JPC852273:JPC852280 JYY852273:JYY852280 KIU852273:KIU852280 KSQ852273:KSQ852280 LCM852273:LCM852280 LMI852273:LMI852280 LWE852273:LWE852280 MGA852273:MGA852280 MPW852273:MPW852280 MZS852273:MZS852280 NJO852273:NJO852280 NTK852273:NTK852280 ODG852273:ODG852280 ONC852273:ONC852280 OWY852273:OWY852280 PGU852273:PGU852280 PQQ852273:PQQ852280 QAM852273:QAM852280 QKI852273:QKI852280 QUE852273:QUE852280 REA852273:REA852280 RNW852273:RNW852280 RXS852273:RXS852280 SHO852273:SHO852280 SRK852273:SRK852280 TBG852273:TBG852280 TLC852273:TLC852280 TUY852273:TUY852280 UEU852273:UEU852280 UOQ852273:UOQ852280 UYM852273:UYM852280 VII852273:VII852280 VSE852273:VSE852280 WCA852273:WCA852280 WLW852273:WLW852280 WVS852273:WVS852280 K917809:K917816 JG917809:JG917816 TC917809:TC917816 ACY917809:ACY917816 AMU917809:AMU917816 AWQ917809:AWQ917816 BGM917809:BGM917816 BQI917809:BQI917816 CAE917809:CAE917816 CKA917809:CKA917816 CTW917809:CTW917816 DDS917809:DDS917816 DNO917809:DNO917816 DXK917809:DXK917816 EHG917809:EHG917816 ERC917809:ERC917816 FAY917809:FAY917816 FKU917809:FKU917816 FUQ917809:FUQ917816 GEM917809:GEM917816 GOI917809:GOI917816 GYE917809:GYE917816 HIA917809:HIA917816 HRW917809:HRW917816 IBS917809:IBS917816 ILO917809:ILO917816 IVK917809:IVK917816 JFG917809:JFG917816 JPC917809:JPC917816 JYY917809:JYY917816 KIU917809:KIU917816 KSQ917809:KSQ917816 LCM917809:LCM917816 LMI917809:LMI917816 LWE917809:LWE917816 MGA917809:MGA917816 MPW917809:MPW917816 MZS917809:MZS917816 NJO917809:NJO917816 NTK917809:NTK917816 ODG917809:ODG917816 ONC917809:ONC917816 OWY917809:OWY917816 PGU917809:PGU917816 PQQ917809:PQQ917816 QAM917809:QAM917816 QKI917809:QKI917816 QUE917809:QUE917816 REA917809:REA917816 RNW917809:RNW917816 RXS917809:RXS917816 SHO917809:SHO917816 SRK917809:SRK917816 TBG917809:TBG917816 TLC917809:TLC917816 TUY917809:TUY917816 UEU917809:UEU917816 UOQ917809:UOQ917816 UYM917809:UYM917816 VII917809:VII917816 VSE917809:VSE917816 WCA917809:WCA917816 WLW917809:WLW917816 WVS917809:WVS917816 K983345:K983352 JG983345:JG983352 TC983345:TC983352 ACY983345:ACY983352 AMU983345:AMU983352 AWQ983345:AWQ983352 BGM983345:BGM983352 BQI983345:BQI983352 CAE983345:CAE983352 CKA983345:CKA983352 CTW983345:CTW983352 DDS983345:DDS983352 DNO983345:DNO983352 DXK983345:DXK983352 EHG983345:EHG983352 ERC983345:ERC983352 FAY983345:FAY983352 FKU983345:FKU983352 FUQ983345:FUQ983352 GEM983345:GEM983352 GOI983345:GOI983352 GYE983345:GYE983352 HIA983345:HIA983352 HRW983345:HRW983352 IBS983345:IBS983352 ILO983345:ILO983352 IVK983345:IVK983352 JFG983345:JFG983352 JPC983345:JPC983352 JYY983345:JYY983352 KIU983345:KIU983352 KSQ983345:KSQ983352 LCM983345:LCM983352 LMI983345:LMI983352 LWE983345:LWE983352 MGA983345:MGA983352 MPW983345:MPW983352 MZS983345:MZS983352 NJO983345:NJO983352 NTK983345:NTK983352 ODG983345:ODG983352 ONC983345:ONC983352 OWY983345:OWY983352 PGU983345:PGU983352 PQQ983345:PQQ983352 QAM983345:QAM983352 QKI983345:QKI983352 QUE983345:QUE983352 REA983345:REA983352 RNW983345:RNW983352 RXS983345:RXS983352 SHO983345:SHO983352 SRK983345:SRK983352 TBG983345:TBG983352 TLC983345:TLC983352 TUY983345:TUY983352 UEU983345:UEU983352 UOQ983345:UOQ983352 UYM983345:UYM983352 VII983345:VII983352 VSE983345:VSE983352 WCA983345:WCA983352 WLW983345:WLW983352 WVS983345:WVS983352" xr:uid="{00000000-0002-0000-0100-000001000000}">
      <formula1>$J$417:$J$419</formula1>
    </dataValidation>
    <dataValidation type="textLength" operator="lessThanOrEqual" allowBlank="1" showInputMessage="1" showErrorMessage="1" errorTitle="Description is to long!" error="Maximum of 250 characters.  Please shorten the length of the description." sqref="WVL983317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813 IZ65813 SV65813 ACR65813 AMN65813 AWJ65813 BGF65813 BQB65813 BZX65813 CJT65813 CTP65813 DDL65813 DNH65813 DXD65813 EGZ65813 EQV65813 FAR65813 FKN65813 FUJ65813 GEF65813 GOB65813 GXX65813 HHT65813 HRP65813 IBL65813 ILH65813 IVD65813 JEZ65813 JOV65813 JYR65813 KIN65813 KSJ65813 LCF65813 LMB65813 LVX65813 MFT65813 MPP65813 MZL65813 NJH65813 NTD65813 OCZ65813 OMV65813 OWR65813 PGN65813 PQJ65813 QAF65813 QKB65813 QTX65813 RDT65813 RNP65813 RXL65813 SHH65813 SRD65813 TAZ65813 TKV65813 TUR65813 UEN65813 UOJ65813 UYF65813 VIB65813 VRX65813 WBT65813 WLP65813 WVL65813 D131349 IZ131349 SV131349 ACR131349 AMN131349 AWJ131349 BGF131349 BQB131349 BZX131349 CJT131349 CTP131349 DDL131349 DNH131349 DXD131349 EGZ131349 EQV131349 FAR131349 FKN131349 FUJ131349 GEF131349 GOB131349 GXX131349 HHT131349 HRP131349 IBL131349 ILH131349 IVD131349 JEZ131349 JOV131349 JYR131349 KIN131349 KSJ131349 LCF131349 LMB131349 LVX131349 MFT131349 MPP131349 MZL131349 NJH131349 NTD131349 OCZ131349 OMV131349 OWR131349 PGN131349 PQJ131349 QAF131349 QKB131349 QTX131349 RDT131349 RNP131349 RXL131349 SHH131349 SRD131349 TAZ131349 TKV131349 TUR131349 UEN131349 UOJ131349 UYF131349 VIB131349 VRX131349 WBT131349 WLP131349 WVL131349 D196885 IZ196885 SV196885 ACR196885 AMN196885 AWJ196885 BGF196885 BQB196885 BZX196885 CJT196885 CTP196885 DDL196885 DNH196885 DXD196885 EGZ196885 EQV196885 FAR196885 FKN196885 FUJ196885 GEF196885 GOB196885 GXX196885 HHT196885 HRP196885 IBL196885 ILH196885 IVD196885 JEZ196885 JOV196885 JYR196885 KIN196885 KSJ196885 LCF196885 LMB196885 LVX196885 MFT196885 MPP196885 MZL196885 NJH196885 NTD196885 OCZ196885 OMV196885 OWR196885 PGN196885 PQJ196885 QAF196885 QKB196885 QTX196885 RDT196885 RNP196885 RXL196885 SHH196885 SRD196885 TAZ196885 TKV196885 TUR196885 UEN196885 UOJ196885 UYF196885 VIB196885 VRX196885 WBT196885 WLP196885 WVL196885 D262421 IZ262421 SV262421 ACR262421 AMN262421 AWJ262421 BGF262421 BQB262421 BZX262421 CJT262421 CTP262421 DDL262421 DNH262421 DXD262421 EGZ262421 EQV262421 FAR262421 FKN262421 FUJ262421 GEF262421 GOB262421 GXX262421 HHT262421 HRP262421 IBL262421 ILH262421 IVD262421 JEZ262421 JOV262421 JYR262421 KIN262421 KSJ262421 LCF262421 LMB262421 LVX262421 MFT262421 MPP262421 MZL262421 NJH262421 NTD262421 OCZ262421 OMV262421 OWR262421 PGN262421 PQJ262421 QAF262421 QKB262421 QTX262421 RDT262421 RNP262421 RXL262421 SHH262421 SRD262421 TAZ262421 TKV262421 TUR262421 UEN262421 UOJ262421 UYF262421 VIB262421 VRX262421 WBT262421 WLP262421 WVL262421 D327957 IZ327957 SV327957 ACR327957 AMN327957 AWJ327957 BGF327957 BQB327957 BZX327957 CJT327957 CTP327957 DDL327957 DNH327957 DXD327957 EGZ327957 EQV327957 FAR327957 FKN327957 FUJ327957 GEF327957 GOB327957 GXX327957 HHT327957 HRP327957 IBL327957 ILH327957 IVD327957 JEZ327957 JOV327957 JYR327957 KIN327957 KSJ327957 LCF327957 LMB327957 LVX327957 MFT327957 MPP327957 MZL327957 NJH327957 NTD327957 OCZ327957 OMV327957 OWR327957 PGN327957 PQJ327957 QAF327957 QKB327957 QTX327957 RDT327957 RNP327957 RXL327957 SHH327957 SRD327957 TAZ327957 TKV327957 TUR327957 UEN327957 UOJ327957 UYF327957 VIB327957 VRX327957 WBT327957 WLP327957 WVL327957 D393493 IZ393493 SV393493 ACR393493 AMN393493 AWJ393493 BGF393493 BQB393493 BZX393493 CJT393493 CTP393493 DDL393493 DNH393493 DXD393493 EGZ393493 EQV393493 FAR393493 FKN393493 FUJ393493 GEF393493 GOB393493 GXX393493 HHT393493 HRP393493 IBL393493 ILH393493 IVD393493 JEZ393493 JOV393493 JYR393493 KIN393493 KSJ393493 LCF393493 LMB393493 LVX393493 MFT393493 MPP393493 MZL393493 NJH393493 NTD393493 OCZ393493 OMV393493 OWR393493 PGN393493 PQJ393493 QAF393493 QKB393493 QTX393493 RDT393493 RNP393493 RXL393493 SHH393493 SRD393493 TAZ393493 TKV393493 TUR393493 UEN393493 UOJ393493 UYF393493 VIB393493 VRX393493 WBT393493 WLP393493 WVL393493 D459029 IZ459029 SV459029 ACR459029 AMN459029 AWJ459029 BGF459029 BQB459029 BZX459029 CJT459029 CTP459029 DDL459029 DNH459029 DXD459029 EGZ459029 EQV459029 FAR459029 FKN459029 FUJ459029 GEF459029 GOB459029 GXX459029 HHT459029 HRP459029 IBL459029 ILH459029 IVD459029 JEZ459029 JOV459029 JYR459029 KIN459029 KSJ459029 LCF459029 LMB459029 LVX459029 MFT459029 MPP459029 MZL459029 NJH459029 NTD459029 OCZ459029 OMV459029 OWR459029 PGN459029 PQJ459029 QAF459029 QKB459029 QTX459029 RDT459029 RNP459029 RXL459029 SHH459029 SRD459029 TAZ459029 TKV459029 TUR459029 UEN459029 UOJ459029 UYF459029 VIB459029 VRX459029 WBT459029 WLP459029 WVL459029 D524565 IZ524565 SV524565 ACR524565 AMN524565 AWJ524565 BGF524565 BQB524565 BZX524565 CJT524565 CTP524565 DDL524565 DNH524565 DXD524565 EGZ524565 EQV524565 FAR524565 FKN524565 FUJ524565 GEF524565 GOB524565 GXX524565 HHT524565 HRP524565 IBL524565 ILH524565 IVD524565 JEZ524565 JOV524565 JYR524565 KIN524565 KSJ524565 LCF524565 LMB524565 LVX524565 MFT524565 MPP524565 MZL524565 NJH524565 NTD524565 OCZ524565 OMV524565 OWR524565 PGN524565 PQJ524565 QAF524565 QKB524565 QTX524565 RDT524565 RNP524565 RXL524565 SHH524565 SRD524565 TAZ524565 TKV524565 TUR524565 UEN524565 UOJ524565 UYF524565 VIB524565 VRX524565 WBT524565 WLP524565 WVL524565 D590101 IZ590101 SV590101 ACR590101 AMN590101 AWJ590101 BGF590101 BQB590101 BZX590101 CJT590101 CTP590101 DDL590101 DNH590101 DXD590101 EGZ590101 EQV590101 FAR590101 FKN590101 FUJ590101 GEF590101 GOB590101 GXX590101 HHT590101 HRP590101 IBL590101 ILH590101 IVD590101 JEZ590101 JOV590101 JYR590101 KIN590101 KSJ590101 LCF590101 LMB590101 LVX590101 MFT590101 MPP590101 MZL590101 NJH590101 NTD590101 OCZ590101 OMV590101 OWR590101 PGN590101 PQJ590101 QAF590101 QKB590101 QTX590101 RDT590101 RNP590101 RXL590101 SHH590101 SRD590101 TAZ590101 TKV590101 TUR590101 UEN590101 UOJ590101 UYF590101 VIB590101 VRX590101 WBT590101 WLP590101 WVL590101 D655637 IZ655637 SV655637 ACR655637 AMN655637 AWJ655637 BGF655637 BQB655637 BZX655637 CJT655637 CTP655637 DDL655637 DNH655637 DXD655637 EGZ655637 EQV655637 FAR655637 FKN655637 FUJ655637 GEF655637 GOB655637 GXX655637 HHT655637 HRP655637 IBL655637 ILH655637 IVD655637 JEZ655637 JOV655637 JYR655637 KIN655637 KSJ655637 LCF655637 LMB655637 LVX655637 MFT655637 MPP655637 MZL655637 NJH655637 NTD655637 OCZ655637 OMV655637 OWR655637 PGN655637 PQJ655637 QAF655637 QKB655637 QTX655637 RDT655637 RNP655637 RXL655637 SHH655637 SRD655637 TAZ655637 TKV655637 TUR655637 UEN655637 UOJ655637 UYF655637 VIB655637 VRX655637 WBT655637 WLP655637 WVL655637 D721173 IZ721173 SV721173 ACR721173 AMN721173 AWJ721173 BGF721173 BQB721173 BZX721173 CJT721173 CTP721173 DDL721173 DNH721173 DXD721173 EGZ721173 EQV721173 FAR721173 FKN721173 FUJ721173 GEF721173 GOB721173 GXX721173 HHT721173 HRP721173 IBL721173 ILH721173 IVD721173 JEZ721173 JOV721173 JYR721173 KIN721173 KSJ721173 LCF721173 LMB721173 LVX721173 MFT721173 MPP721173 MZL721173 NJH721173 NTD721173 OCZ721173 OMV721173 OWR721173 PGN721173 PQJ721173 QAF721173 QKB721173 QTX721173 RDT721173 RNP721173 RXL721173 SHH721173 SRD721173 TAZ721173 TKV721173 TUR721173 UEN721173 UOJ721173 UYF721173 VIB721173 VRX721173 WBT721173 WLP721173 WVL721173 D786709 IZ786709 SV786709 ACR786709 AMN786709 AWJ786709 BGF786709 BQB786709 BZX786709 CJT786709 CTP786709 DDL786709 DNH786709 DXD786709 EGZ786709 EQV786709 FAR786709 FKN786709 FUJ786709 GEF786709 GOB786709 GXX786709 HHT786709 HRP786709 IBL786709 ILH786709 IVD786709 JEZ786709 JOV786709 JYR786709 KIN786709 KSJ786709 LCF786709 LMB786709 LVX786709 MFT786709 MPP786709 MZL786709 NJH786709 NTD786709 OCZ786709 OMV786709 OWR786709 PGN786709 PQJ786709 QAF786709 QKB786709 QTX786709 RDT786709 RNP786709 RXL786709 SHH786709 SRD786709 TAZ786709 TKV786709 TUR786709 UEN786709 UOJ786709 UYF786709 VIB786709 VRX786709 WBT786709 WLP786709 WVL786709 D852245 IZ852245 SV852245 ACR852245 AMN852245 AWJ852245 BGF852245 BQB852245 BZX852245 CJT852245 CTP852245 DDL852245 DNH852245 DXD852245 EGZ852245 EQV852245 FAR852245 FKN852245 FUJ852245 GEF852245 GOB852245 GXX852245 HHT852245 HRP852245 IBL852245 ILH852245 IVD852245 JEZ852245 JOV852245 JYR852245 KIN852245 KSJ852245 LCF852245 LMB852245 LVX852245 MFT852245 MPP852245 MZL852245 NJH852245 NTD852245 OCZ852245 OMV852245 OWR852245 PGN852245 PQJ852245 QAF852245 QKB852245 QTX852245 RDT852245 RNP852245 RXL852245 SHH852245 SRD852245 TAZ852245 TKV852245 TUR852245 UEN852245 UOJ852245 UYF852245 VIB852245 VRX852245 WBT852245 WLP852245 WVL852245 D917781 IZ917781 SV917781 ACR917781 AMN917781 AWJ917781 BGF917781 BQB917781 BZX917781 CJT917781 CTP917781 DDL917781 DNH917781 DXD917781 EGZ917781 EQV917781 FAR917781 FKN917781 FUJ917781 GEF917781 GOB917781 GXX917781 HHT917781 HRP917781 IBL917781 ILH917781 IVD917781 JEZ917781 JOV917781 JYR917781 KIN917781 KSJ917781 LCF917781 LMB917781 LVX917781 MFT917781 MPP917781 MZL917781 NJH917781 NTD917781 OCZ917781 OMV917781 OWR917781 PGN917781 PQJ917781 QAF917781 QKB917781 QTX917781 RDT917781 RNP917781 RXL917781 SHH917781 SRD917781 TAZ917781 TKV917781 TUR917781 UEN917781 UOJ917781 UYF917781 VIB917781 VRX917781 WBT917781 WLP917781 WVL917781 D983317 IZ983317 SV983317 ACR983317 AMN983317 AWJ983317 BGF983317 BQB983317 BZX983317 CJT983317 CTP983317 DDL983317 DNH983317 DXD983317 EGZ983317 EQV983317 FAR983317 FKN983317 FUJ983317 GEF983317 GOB983317 GXX983317 HHT983317 HRP983317 IBL983317 ILH983317 IVD983317 JEZ983317 JOV983317 JYR983317 KIN983317 KSJ983317 LCF983317 LMB983317 LVX983317 MFT983317 MPP983317 MZL983317 NJH983317 NTD983317 OCZ983317 OMV983317 OWR983317 PGN983317 PQJ983317 QAF983317 QKB983317 QTX983317 RDT983317 RNP983317 RXL983317 SHH983317 SRD983317 TAZ983317 TKV983317 TUR983317 UEN983317 UOJ983317 UYF983317 VIB983317 VRX983317 WBT983317 WLP983317 D6" xr:uid="{00000000-0002-0000-0100-000002000000}">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822 IZ65822 SV65822 ACR65822 AMN65822 AWJ65822 BGF65822 BQB65822 BZX65822 CJT65822 CTP65822 DDL65822 DNH65822 DXD65822 EGZ65822 EQV65822 FAR65822 FKN65822 FUJ65822 GEF65822 GOB65822 GXX65822 HHT65822 HRP65822 IBL65822 ILH65822 IVD65822 JEZ65822 JOV65822 JYR65822 KIN65822 KSJ65822 LCF65822 LMB65822 LVX65822 MFT65822 MPP65822 MZL65822 NJH65822 NTD65822 OCZ65822 OMV65822 OWR65822 PGN65822 PQJ65822 QAF65822 QKB65822 QTX65822 RDT65822 RNP65822 RXL65822 SHH65822 SRD65822 TAZ65822 TKV65822 TUR65822 UEN65822 UOJ65822 UYF65822 VIB65822 VRX65822 WBT65822 WLP65822 WVL65822 D131358 IZ131358 SV131358 ACR131358 AMN131358 AWJ131358 BGF131358 BQB131358 BZX131358 CJT131358 CTP131358 DDL131358 DNH131358 DXD131358 EGZ131358 EQV131358 FAR131358 FKN131358 FUJ131358 GEF131358 GOB131358 GXX131358 HHT131358 HRP131358 IBL131358 ILH131358 IVD131358 JEZ131358 JOV131358 JYR131358 KIN131358 KSJ131358 LCF131358 LMB131358 LVX131358 MFT131358 MPP131358 MZL131358 NJH131358 NTD131358 OCZ131358 OMV131358 OWR131358 PGN131358 PQJ131358 QAF131358 QKB131358 QTX131358 RDT131358 RNP131358 RXL131358 SHH131358 SRD131358 TAZ131358 TKV131358 TUR131358 UEN131358 UOJ131358 UYF131358 VIB131358 VRX131358 WBT131358 WLP131358 WVL131358 D196894 IZ196894 SV196894 ACR196894 AMN196894 AWJ196894 BGF196894 BQB196894 BZX196894 CJT196894 CTP196894 DDL196894 DNH196894 DXD196894 EGZ196894 EQV196894 FAR196894 FKN196894 FUJ196894 GEF196894 GOB196894 GXX196894 HHT196894 HRP196894 IBL196894 ILH196894 IVD196894 JEZ196894 JOV196894 JYR196894 KIN196894 KSJ196894 LCF196894 LMB196894 LVX196894 MFT196894 MPP196894 MZL196894 NJH196894 NTD196894 OCZ196894 OMV196894 OWR196894 PGN196894 PQJ196894 QAF196894 QKB196894 QTX196894 RDT196894 RNP196894 RXL196894 SHH196894 SRD196894 TAZ196894 TKV196894 TUR196894 UEN196894 UOJ196894 UYF196894 VIB196894 VRX196894 WBT196894 WLP196894 WVL196894 D262430 IZ262430 SV262430 ACR262430 AMN262430 AWJ262430 BGF262430 BQB262430 BZX262430 CJT262430 CTP262430 DDL262430 DNH262430 DXD262430 EGZ262430 EQV262430 FAR262430 FKN262430 FUJ262430 GEF262430 GOB262430 GXX262430 HHT262430 HRP262430 IBL262430 ILH262430 IVD262430 JEZ262430 JOV262430 JYR262430 KIN262430 KSJ262430 LCF262430 LMB262430 LVX262430 MFT262430 MPP262430 MZL262430 NJH262430 NTD262430 OCZ262430 OMV262430 OWR262430 PGN262430 PQJ262430 QAF262430 QKB262430 QTX262430 RDT262430 RNP262430 RXL262430 SHH262430 SRD262430 TAZ262430 TKV262430 TUR262430 UEN262430 UOJ262430 UYF262430 VIB262430 VRX262430 WBT262430 WLP262430 WVL262430 D327966 IZ327966 SV327966 ACR327966 AMN327966 AWJ327966 BGF327966 BQB327966 BZX327966 CJT327966 CTP327966 DDL327966 DNH327966 DXD327966 EGZ327966 EQV327966 FAR327966 FKN327966 FUJ327966 GEF327966 GOB327966 GXX327966 HHT327966 HRP327966 IBL327966 ILH327966 IVD327966 JEZ327966 JOV327966 JYR327966 KIN327966 KSJ327966 LCF327966 LMB327966 LVX327966 MFT327966 MPP327966 MZL327966 NJH327966 NTD327966 OCZ327966 OMV327966 OWR327966 PGN327966 PQJ327966 QAF327966 QKB327966 QTX327966 RDT327966 RNP327966 RXL327966 SHH327966 SRD327966 TAZ327966 TKV327966 TUR327966 UEN327966 UOJ327966 UYF327966 VIB327966 VRX327966 WBT327966 WLP327966 WVL327966 D393502 IZ393502 SV393502 ACR393502 AMN393502 AWJ393502 BGF393502 BQB393502 BZX393502 CJT393502 CTP393502 DDL393502 DNH393502 DXD393502 EGZ393502 EQV393502 FAR393502 FKN393502 FUJ393502 GEF393502 GOB393502 GXX393502 HHT393502 HRP393502 IBL393502 ILH393502 IVD393502 JEZ393502 JOV393502 JYR393502 KIN393502 KSJ393502 LCF393502 LMB393502 LVX393502 MFT393502 MPP393502 MZL393502 NJH393502 NTD393502 OCZ393502 OMV393502 OWR393502 PGN393502 PQJ393502 QAF393502 QKB393502 QTX393502 RDT393502 RNP393502 RXL393502 SHH393502 SRD393502 TAZ393502 TKV393502 TUR393502 UEN393502 UOJ393502 UYF393502 VIB393502 VRX393502 WBT393502 WLP393502 WVL393502 D459038 IZ459038 SV459038 ACR459038 AMN459038 AWJ459038 BGF459038 BQB459038 BZX459038 CJT459038 CTP459038 DDL459038 DNH459038 DXD459038 EGZ459038 EQV459038 FAR459038 FKN459038 FUJ459038 GEF459038 GOB459038 GXX459038 HHT459038 HRP459038 IBL459038 ILH459038 IVD459038 JEZ459038 JOV459038 JYR459038 KIN459038 KSJ459038 LCF459038 LMB459038 LVX459038 MFT459038 MPP459038 MZL459038 NJH459038 NTD459038 OCZ459038 OMV459038 OWR459038 PGN459038 PQJ459038 QAF459038 QKB459038 QTX459038 RDT459038 RNP459038 RXL459038 SHH459038 SRD459038 TAZ459038 TKV459038 TUR459038 UEN459038 UOJ459038 UYF459038 VIB459038 VRX459038 WBT459038 WLP459038 WVL459038 D524574 IZ524574 SV524574 ACR524574 AMN524574 AWJ524574 BGF524574 BQB524574 BZX524574 CJT524574 CTP524574 DDL524574 DNH524574 DXD524574 EGZ524574 EQV524574 FAR524574 FKN524574 FUJ524574 GEF524574 GOB524574 GXX524574 HHT524574 HRP524574 IBL524574 ILH524574 IVD524574 JEZ524574 JOV524574 JYR524574 KIN524574 KSJ524574 LCF524574 LMB524574 LVX524574 MFT524574 MPP524574 MZL524574 NJH524574 NTD524574 OCZ524574 OMV524574 OWR524574 PGN524574 PQJ524574 QAF524574 QKB524574 QTX524574 RDT524574 RNP524574 RXL524574 SHH524574 SRD524574 TAZ524574 TKV524574 TUR524574 UEN524574 UOJ524574 UYF524574 VIB524574 VRX524574 WBT524574 WLP524574 WVL524574 D590110 IZ590110 SV590110 ACR590110 AMN590110 AWJ590110 BGF590110 BQB590110 BZX590110 CJT590110 CTP590110 DDL590110 DNH590110 DXD590110 EGZ590110 EQV590110 FAR590110 FKN590110 FUJ590110 GEF590110 GOB590110 GXX590110 HHT590110 HRP590110 IBL590110 ILH590110 IVD590110 JEZ590110 JOV590110 JYR590110 KIN590110 KSJ590110 LCF590110 LMB590110 LVX590110 MFT590110 MPP590110 MZL590110 NJH590110 NTD590110 OCZ590110 OMV590110 OWR590110 PGN590110 PQJ590110 QAF590110 QKB590110 QTX590110 RDT590110 RNP590110 RXL590110 SHH590110 SRD590110 TAZ590110 TKV590110 TUR590110 UEN590110 UOJ590110 UYF590110 VIB590110 VRX590110 WBT590110 WLP590110 WVL590110 D655646 IZ655646 SV655646 ACR655646 AMN655646 AWJ655646 BGF655646 BQB655646 BZX655646 CJT655646 CTP655646 DDL655646 DNH655646 DXD655646 EGZ655646 EQV655646 FAR655646 FKN655646 FUJ655646 GEF655646 GOB655646 GXX655646 HHT655646 HRP655646 IBL655646 ILH655646 IVD655646 JEZ655646 JOV655646 JYR655646 KIN655646 KSJ655646 LCF655646 LMB655646 LVX655646 MFT655646 MPP655646 MZL655646 NJH655646 NTD655646 OCZ655646 OMV655646 OWR655646 PGN655646 PQJ655646 QAF655646 QKB655646 QTX655646 RDT655646 RNP655646 RXL655646 SHH655646 SRD655646 TAZ655646 TKV655646 TUR655646 UEN655646 UOJ655646 UYF655646 VIB655646 VRX655646 WBT655646 WLP655646 WVL655646 D721182 IZ721182 SV721182 ACR721182 AMN721182 AWJ721182 BGF721182 BQB721182 BZX721182 CJT721182 CTP721182 DDL721182 DNH721182 DXD721182 EGZ721182 EQV721182 FAR721182 FKN721182 FUJ721182 GEF721182 GOB721182 GXX721182 HHT721182 HRP721182 IBL721182 ILH721182 IVD721182 JEZ721182 JOV721182 JYR721182 KIN721182 KSJ721182 LCF721182 LMB721182 LVX721182 MFT721182 MPP721182 MZL721182 NJH721182 NTD721182 OCZ721182 OMV721182 OWR721182 PGN721182 PQJ721182 QAF721182 QKB721182 QTX721182 RDT721182 RNP721182 RXL721182 SHH721182 SRD721182 TAZ721182 TKV721182 TUR721182 UEN721182 UOJ721182 UYF721182 VIB721182 VRX721182 WBT721182 WLP721182 WVL721182 D786718 IZ786718 SV786718 ACR786718 AMN786718 AWJ786718 BGF786718 BQB786718 BZX786718 CJT786718 CTP786718 DDL786718 DNH786718 DXD786718 EGZ786718 EQV786718 FAR786718 FKN786718 FUJ786718 GEF786718 GOB786718 GXX786718 HHT786718 HRP786718 IBL786718 ILH786718 IVD786718 JEZ786718 JOV786718 JYR786718 KIN786718 KSJ786718 LCF786718 LMB786718 LVX786718 MFT786718 MPP786718 MZL786718 NJH786718 NTD786718 OCZ786718 OMV786718 OWR786718 PGN786718 PQJ786718 QAF786718 QKB786718 QTX786718 RDT786718 RNP786718 RXL786718 SHH786718 SRD786718 TAZ786718 TKV786718 TUR786718 UEN786718 UOJ786718 UYF786718 VIB786718 VRX786718 WBT786718 WLP786718 WVL786718 D852254 IZ852254 SV852254 ACR852254 AMN852254 AWJ852254 BGF852254 BQB852254 BZX852254 CJT852254 CTP852254 DDL852254 DNH852254 DXD852254 EGZ852254 EQV852254 FAR852254 FKN852254 FUJ852254 GEF852254 GOB852254 GXX852254 HHT852254 HRP852254 IBL852254 ILH852254 IVD852254 JEZ852254 JOV852254 JYR852254 KIN852254 KSJ852254 LCF852254 LMB852254 LVX852254 MFT852254 MPP852254 MZL852254 NJH852254 NTD852254 OCZ852254 OMV852254 OWR852254 PGN852254 PQJ852254 QAF852254 QKB852254 QTX852254 RDT852254 RNP852254 RXL852254 SHH852254 SRD852254 TAZ852254 TKV852254 TUR852254 UEN852254 UOJ852254 UYF852254 VIB852254 VRX852254 WBT852254 WLP852254 WVL852254 D917790 IZ917790 SV917790 ACR917790 AMN917790 AWJ917790 BGF917790 BQB917790 BZX917790 CJT917790 CTP917790 DDL917790 DNH917790 DXD917790 EGZ917790 EQV917790 FAR917790 FKN917790 FUJ917790 GEF917790 GOB917790 GXX917790 HHT917790 HRP917790 IBL917790 ILH917790 IVD917790 JEZ917790 JOV917790 JYR917790 KIN917790 KSJ917790 LCF917790 LMB917790 LVX917790 MFT917790 MPP917790 MZL917790 NJH917790 NTD917790 OCZ917790 OMV917790 OWR917790 PGN917790 PQJ917790 QAF917790 QKB917790 QTX917790 RDT917790 RNP917790 RXL917790 SHH917790 SRD917790 TAZ917790 TKV917790 TUR917790 UEN917790 UOJ917790 UYF917790 VIB917790 VRX917790 WBT917790 WLP917790 WVL917790 D983326 IZ983326 SV983326 ACR983326 AMN983326 AWJ983326 BGF983326 BQB983326 BZX983326 CJT983326 CTP983326 DDL983326 DNH983326 DXD983326 EGZ983326 EQV983326 FAR983326 FKN983326 FUJ983326 GEF983326 GOB983326 GXX983326 HHT983326 HRP983326 IBL983326 ILH983326 IVD983326 JEZ983326 JOV983326 JYR983326 KIN983326 KSJ983326 LCF983326 LMB983326 LVX983326 MFT983326 MPP983326 MZL983326 NJH983326 NTD983326 OCZ983326 OMV983326 OWR983326 PGN983326 PQJ983326 QAF983326 QKB983326 QTX983326 RDT983326 RNP983326 RXL983326 SHH983326 SRD983326 TAZ983326 TKV983326 TUR983326 UEN983326 UOJ983326 UYF983326 VIB983326 VRX983326 WBT983326 WLP983326 WVL983326" xr:uid="{00000000-0002-0000-0100-000003000000}">
      <formula1>"&lt;select from list&gt;, Yes, No"</formula1>
    </dataValidation>
    <dataValidation type="list" allowBlank="1" showInputMessage="1" showErrorMessage="1" sqref="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820:E65820 IZ65820:JA65820 SV65820:SW65820 ACR65820:ACS65820 AMN65820:AMO65820 AWJ65820:AWK65820 BGF65820:BGG65820 BQB65820:BQC65820 BZX65820:BZY65820 CJT65820:CJU65820 CTP65820:CTQ65820 DDL65820:DDM65820 DNH65820:DNI65820 DXD65820:DXE65820 EGZ65820:EHA65820 EQV65820:EQW65820 FAR65820:FAS65820 FKN65820:FKO65820 FUJ65820:FUK65820 GEF65820:GEG65820 GOB65820:GOC65820 GXX65820:GXY65820 HHT65820:HHU65820 HRP65820:HRQ65820 IBL65820:IBM65820 ILH65820:ILI65820 IVD65820:IVE65820 JEZ65820:JFA65820 JOV65820:JOW65820 JYR65820:JYS65820 KIN65820:KIO65820 KSJ65820:KSK65820 LCF65820:LCG65820 LMB65820:LMC65820 LVX65820:LVY65820 MFT65820:MFU65820 MPP65820:MPQ65820 MZL65820:MZM65820 NJH65820:NJI65820 NTD65820:NTE65820 OCZ65820:ODA65820 OMV65820:OMW65820 OWR65820:OWS65820 PGN65820:PGO65820 PQJ65820:PQK65820 QAF65820:QAG65820 QKB65820:QKC65820 QTX65820:QTY65820 RDT65820:RDU65820 RNP65820:RNQ65820 RXL65820:RXM65820 SHH65820:SHI65820 SRD65820:SRE65820 TAZ65820:TBA65820 TKV65820:TKW65820 TUR65820:TUS65820 UEN65820:UEO65820 UOJ65820:UOK65820 UYF65820:UYG65820 VIB65820:VIC65820 VRX65820:VRY65820 WBT65820:WBU65820 WLP65820:WLQ65820 WVL65820:WVM65820 D131356:E131356 IZ131356:JA131356 SV131356:SW131356 ACR131356:ACS131356 AMN131356:AMO131356 AWJ131356:AWK131356 BGF131356:BGG131356 BQB131356:BQC131356 BZX131356:BZY131356 CJT131356:CJU131356 CTP131356:CTQ131356 DDL131356:DDM131356 DNH131356:DNI131356 DXD131356:DXE131356 EGZ131356:EHA131356 EQV131356:EQW131356 FAR131356:FAS131356 FKN131356:FKO131356 FUJ131356:FUK131356 GEF131356:GEG131356 GOB131356:GOC131356 GXX131356:GXY131356 HHT131356:HHU131356 HRP131356:HRQ131356 IBL131356:IBM131356 ILH131356:ILI131356 IVD131356:IVE131356 JEZ131356:JFA131356 JOV131356:JOW131356 JYR131356:JYS131356 KIN131356:KIO131356 KSJ131356:KSK131356 LCF131356:LCG131356 LMB131356:LMC131356 LVX131356:LVY131356 MFT131356:MFU131356 MPP131356:MPQ131356 MZL131356:MZM131356 NJH131356:NJI131356 NTD131356:NTE131356 OCZ131356:ODA131356 OMV131356:OMW131356 OWR131356:OWS131356 PGN131356:PGO131356 PQJ131356:PQK131356 QAF131356:QAG131356 QKB131356:QKC131356 QTX131356:QTY131356 RDT131356:RDU131356 RNP131356:RNQ131356 RXL131356:RXM131356 SHH131356:SHI131356 SRD131356:SRE131356 TAZ131356:TBA131356 TKV131356:TKW131356 TUR131356:TUS131356 UEN131356:UEO131356 UOJ131356:UOK131356 UYF131356:UYG131356 VIB131356:VIC131356 VRX131356:VRY131356 WBT131356:WBU131356 WLP131356:WLQ131356 WVL131356:WVM131356 D196892:E196892 IZ196892:JA196892 SV196892:SW196892 ACR196892:ACS196892 AMN196892:AMO196892 AWJ196892:AWK196892 BGF196892:BGG196892 BQB196892:BQC196892 BZX196892:BZY196892 CJT196892:CJU196892 CTP196892:CTQ196892 DDL196892:DDM196892 DNH196892:DNI196892 DXD196892:DXE196892 EGZ196892:EHA196892 EQV196892:EQW196892 FAR196892:FAS196892 FKN196892:FKO196892 FUJ196892:FUK196892 GEF196892:GEG196892 GOB196892:GOC196892 GXX196892:GXY196892 HHT196892:HHU196892 HRP196892:HRQ196892 IBL196892:IBM196892 ILH196892:ILI196892 IVD196892:IVE196892 JEZ196892:JFA196892 JOV196892:JOW196892 JYR196892:JYS196892 KIN196892:KIO196892 KSJ196892:KSK196892 LCF196892:LCG196892 LMB196892:LMC196892 LVX196892:LVY196892 MFT196892:MFU196892 MPP196892:MPQ196892 MZL196892:MZM196892 NJH196892:NJI196892 NTD196892:NTE196892 OCZ196892:ODA196892 OMV196892:OMW196892 OWR196892:OWS196892 PGN196892:PGO196892 PQJ196892:PQK196892 QAF196892:QAG196892 QKB196892:QKC196892 QTX196892:QTY196892 RDT196892:RDU196892 RNP196892:RNQ196892 RXL196892:RXM196892 SHH196892:SHI196892 SRD196892:SRE196892 TAZ196892:TBA196892 TKV196892:TKW196892 TUR196892:TUS196892 UEN196892:UEO196892 UOJ196892:UOK196892 UYF196892:UYG196892 VIB196892:VIC196892 VRX196892:VRY196892 WBT196892:WBU196892 WLP196892:WLQ196892 WVL196892:WVM196892 D262428:E262428 IZ262428:JA262428 SV262428:SW262428 ACR262428:ACS262428 AMN262428:AMO262428 AWJ262428:AWK262428 BGF262428:BGG262428 BQB262428:BQC262428 BZX262428:BZY262428 CJT262428:CJU262428 CTP262428:CTQ262428 DDL262428:DDM262428 DNH262428:DNI262428 DXD262428:DXE262428 EGZ262428:EHA262428 EQV262428:EQW262428 FAR262428:FAS262428 FKN262428:FKO262428 FUJ262428:FUK262428 GEF262428:GEG262428 GOB262428:GOC262428 GXX262428:GXY262428 HHT262428:HHU262428 HRP262428:HRQ262428 IBL262428:IBM262428 ILH262428:ILI262428 IVD262428:IVE262428 JEZ262428:JFA262428 JOV262428:JOW262428 JYR262428:JYS262428 KIN262428:KIO262428 KSJ262428:KSK262428 LCF262428:LCG262428 LMB262428:LMC262428 LVX262428:LVY262428 MFT262428:MFU262428 MPP262428:MPQ262428 MZL262428:MZM262428 NJH262428:NJI262428 NTD262428:NTE262428 OCZ262428:ODA262428 OMV262428:OMW262428 OWR262428:OWS262428 PGN262428:PGO262428 PQJ262428:PQK262428 QAF262428:QAG262428 QKB262428:QKC262428 QTX262428:QTY262428 RDT262428:RDU262428 RNP262428:RNQ262428 RXL262428:RXM262428 SHH262428:SHI262428 SRD262428:SRE262428 TAZ262428:TBA262428 TKV262428:TKW262428 TUR262428:TUS262428 UEN262428:UEO262428 UOJ262428:UOK262428 UYF262428:UYG262428 VIB262428:VIC262428 VRX262428:VRY262428 WBT262428:WBU262428 WLP262428:WLQ262428 WVL262428:WVM262428 D327964:E327964 IZ327964:JA327964 SV327964:SW327964 ACR327964:ACS327964 AMN327964:AMO327964 AWJ327964:AWK327964 BGF327964:BGG327964 BQB327964:BQC327964 BZX327964:BZY327964 CJT327964:CJU327964 CTP327964:CTQ327964 DDL327964:DDM327964 DNH327964:DNI327964 DXD327964:DXE327964 EGZ327964:EHA327964 EQV327964:EQW327964 FAR327964:FAS327964 FKN327964:FKO327964 FUJ327964:FUK327964 GEF327964:GEG327964 GOB327964:GOC327964 GXX327964:GXY327964 HHT327964:HHU327964 HRP327964:HRQ327964 IBL327964:IBM327964 ILH327964:ILI327964 IVD327964:IVE327964 JEZ327964:JFA327964 JOV327964:JOW327964 JYR327964:JYS327964 KIN327964:KIO327964 KSJ327964:KSK327964 LCF327964:LCG327964 LMB327964:LMC327964 LVX327964:LVY327964 MFT327964:MFU327964 MPP327964:MPQ327964 MZL327964:MZM327964 NJH327964:NJI327964 NTD327964:NTE327964 OCZ327964:ODA327964 OMV327964:OMW327964 OWR327964:OWS327964 PGN327964:PGO327964 PQJ327964:PQK327964 QAF327964:QAG327964 QKB327964:QKC327964 QTX327964:QTY327964 RDT327964:RDU327964 RNP327964:RNQ327964 RXL327964:RXM327964 SHH327964:SHI327964 SRD327964:SRE327964 TAZ327964:TBA327964 TKV327964:TKW327964 TUR327964:TUS327964 UEN327964:UEO327964 UOJ327964:UOK327964 UYF327964:UYG327964 VIB327964:VIC327964 VRX327964:VRY327964 WBT327964:WBU327964 WLP327964:WLQ327964 WVL327964:WVM327964 D393500:E393500 IZ393500:JA393500 SV393500:SW393500 ACR393500:ACS393500 AMN393500:AMO393500 AWJ393500:AWK393500 BGF393500:BGG393500 BQB393500:BQC393500 BZX393500:BZY393500 CJT393500:CJU393500 CTP393500:CTQ393500 DDL393500:DDM393500 DNH393500:DNI393500 DXD393500:DXE393500 EGZ393500:EHA393500 EQV393500:EQW393500 FAR393500:FAS393500 FKN393500:FKO393500 FUJ393500:FUK393500 GEF393500:GEG393500 GOB393500:GOC393500 GXX393500:GXY393500 HHT393500:HHU393500 HRP393500:HRQ393500 IBL393500:IBM393500 ILH393500:ILI393500 IVD393500:IVE393500 JEZ393500:JFA393500 JOV393500:JOW393500 JYR393500:JYS393500 KIN393500:KIO393500 KSJ393500:KSK393500 LCF393500:LCG393500 LMB393500:LMC393500 LVX393500:LVY393500 MFT393500:MFU393500 MPP393500:MPQ393500 MZL393500:MZM393500 NJH393500:NJI393500 NTD393500:NTE393500 OCZ393500:ODA393500 OMV393500:OMW393500 OWR393500:OWS393500 PGN393500:PGO393500 PQJ393500:PQK393500 QAF393500:QAG393500 QKB393500:QKC393500 QTX393500:QTY393500 RDT393500:RDU393500 RNP393500:RNQ393500 RXL393500:RXM393500 SHH393500:SHI393500 SRD393500:SRE393500 TAZ393500:TBA393500 TKV393500:TKW393500 TUR393500:TUS393500 UEN393500:UEO393500 UOJ393500:UOK393500 UYF393500:UYG393500 VIB393500:VIC393500 VRX393500:VRY393500 WBT393500:WBU393500 WLP393500:WLQ393500 WVL393500:WVM393500 D459036:E459036 IZ459036:JA459036 SV459036:SW459036 ACR459036:ACS459036 AMN459036:AMO459036 AWJ459036:AWK459036 BGF459036:BGG459036 BQB459036:BQC459036 BZX459036:BZY459036 CJT459036:CJU459036 CTP459036:CTQ459036 DDL459036:DDM459036 DNH459036:DNI459036 DXD459036:DXE459036 EGZ459036:EHA459036 EQV459036:EQW459036 FAR459036:FAS459036 FKN459036:FKO459036 FUJ459036:FUK459036 GEF459036:GEG459036 GOB459036:GOC459036 GXX459036:GXY459036 HHT459036:HHU459036 HRP459036:HRQ459036 IBL459036:IBM459036 ILH459036:ILI459036 IVD459036:IVE459036 JEZ459036:JFA459036 JOV459036:JOW459036 JYR459036:JYS459036 KIN459036:KIO459036 KSJ459036:KSK459036 LCF459036:LCG459036 LMB459036:LMC459036 LVX459036:LVY459036 MFT459036:MFU459036 MPP459036:MPQ459036 MZL459036:MZM459036 NJH459036:NJI459036 NTD459036:NTE459036 OCZ459036:ODA459036 OMV459036:OMW459036 OWR459036:OWS459036 PGN459036:PGO459036 PQJ459036:PQK459036 QAF459036:QAG459036 QKB459036:QKC459036 QTX459036:QTY459036 RDT459036:RDU459036 RNP459036:RNQ459036 RXL459036:RXM459036 SHH459036:SHI459036 SRD459036:SRE459036 TAZ459036:TBA459036 TKV459036:TKW459036 TUR459036:TUS459036 UEN459036:UEO459036 UOJ459036:UOK459036 UYF459036:UYG459036 VIB459036:VIC459036 VRX459036:VRY459036 WBT459036:WBU459036 WLP459036:WLQ459036 WVL459036:WVM459036 D524572:E524572 IZ524572:JA524572 SV524572:SW524572 ACR524572:ACS524572 AMN524572:AMO524572 AWJ524572:AWK524572 BGF524572:BGG524572 BQB524572:BQC524572 BZX524572:BZY524572 CJT524572:CJU524572 CTP524572:CTQ524572 DDL524572:DDM524572 DNH524572:DNI524572 DXD524572:DXE524572 EGZ524572:EHA524572 EQV524572:EQW524572 FAR524572:FAS524572 FKN524572:FKO524572 FUJ524572:FUK524572 GEF524572:GEG524572 GOB524572:GOC524572 GXX524572:GXY524572 HHT524572:HHU524572 HRP524572:HRQ524572 IBL524572:IBM524572 ILH524572:ILI524572 IVD524572:IVE524572 JEZ524572:JFA524572 JOV524572:JOW524572 JYR524572:JYS524572 KIN524572:KIO524572 KSJ524572:KSK524572 LCF524572:LCG524572 LMB524572:LMC524572 LVX524572:LVY524572 MFT524572:MFU524572 MPP524572:MPQ524572 MZL524572:MZM524572 NJH524572:NJI524572 NTD524572:NTE524572 OCZ524572:ODA524572 OMV524572:OMW524572 OWR524572:OWS524572 PGN524572:PGO524572 PQJ524572:PQK524572 QAF524572:QAG524572 QKB524572:QKC524572 QTX524572:QTY524572 RDT524572:RDU524572 RNP524572:RNQ524572 RXL524572:RXM524572 SHH524572:SHI524572 SRD524572:SRE524572 TAZ524572:TBA524572 TKV524572:TKW524572 TUR524572:TUS524572 UEN524572:UEO524572 UOJ524572:UOK524572 UYF524572:UYG524572 VIB524572:VIC524572 VRX524572:VRY524572 WBT524572:WBU524572 WLP524572:WLQ524572 WVL524572:WVM524572 D590108:E590108 IZ590108:JA590108 SV590108:SW590108 ACR590108:ACS590108 AMN590108:AMO590108 AWJ590108:AWK590108 BGF590108:BGG590108 BQB590108:BQC590108 BZX590108:BZY590108 CJT590108:CJU590108 CTP590108:CTQ590108 DDL590108:DDM590108 DNH590108:DNI590108 DXD590108:DXE590108 EGZ590108:EHA590108 EQV590108:EQW590108 FAR590108:FAS590108 FKN590108:FKO590108 FUJ590108:FUK590108 GEF590108:GEG590108 GOB590108:GOC590108 GXX590108:GXY590108 HHT590108:HHU590108 HRP590108:HRQ590108 IBL590108:IBM590108 ILH590108:ILI590108 IVD590108:IVE590108 JEZ590108:JFA590108 JOV590108:JOW590108 JYR590108:JYS590108 KIN590108:KIO590108 KSJ590108:KSK590108 LCF590108:LCG590108 LMB590108:LMC590108 LVX590108:LVY590108 MFT590108:MFU590108 MPP590108:MPQ590108 MZL590108:MZM590108 NJH590108:NJI590108 NTD590108:NTE590108 OCZ590108:ODA590108 OMV590108:OMW590108 OWR590108:OWS590108 PGN590108:PGO590108 PQJ590108:PQK590108 QAF590108:QAG590108 QKB590108:QKC590108 QTX590108:QTY590108 RDT590108:RDU590108 RNP590108:RNQ590108 RXL590108:RXM590108 SHH590108:SHI590108 SRD590108:SRE590108 TAZ590108:TBA590108 TKV590108:TKW590108 TUR590108:TUS590108 UEN590108:UEO590108 UOJ590108:UOK590108 UYF590108:UYG590108 VIB590108:VIC590108 VRX590108:VRY590108 WBT590108:WBU590108 WLP590108:WLQ590108 WVL590108:WVM590108 D655644:E655644 IZ655644:JA655644 SV655644:SW655644 ACR655644:ACS655644 AMN655644:AMO655644 AWJ655644:AWK655644 BGF655644:BGG655644 BQB655644:BQC655644 BZX655644:BZY655644 CJT655644:CJU655644 CTP655644:CTQ655644 DDL655644:DDM655644 DNH655644:DNI655644 DXD655644:DXE655644 EGZ655644:EHA655644 EQV655644:EQW655644 FAR655644:FAS655644 FKN655644:FKO655644 FUJ655644:FUK655644 GEF655644:GEG655644 GOB655644:GOC655644 GXX655644:GXY655644 HHT655644:HHU655644 HRP655644:HRQ655644 IBL655644:IBM655644 ILH655644:ILI655644 IVD655644:IVE655644 JEZ655644:JFA655644 JOV655644:JOW655644 JYR655644:JYS655644 KIN655644:KIO655644 KSJ655644:KSK655644 LCF655644:LCG655644 LMB655644:LMC655644 LVX655644:LVY655644 MFT655644:MFU655644 MPP655644:MPQ655644 MZL655644:MZM655644 NJH655644:NJI655644 NTD655644:NTE655644 OCZ655644:ODA655644 OMV655644:OMW655644 OWR655644:OWS655644 PGN655644:PGO655644 PQJ655644:PQK655644 QAF655644:QAG655644 QKB655644:QKC655644 QTX655644:QTY655644 RDT655644:RDU655644 RNP655644:RNQ655644 RXL655644:RXM655644 SHH655644:SHI655644 SRD655644:SRE655644 TAZ655644:TBA655644 TKV655644:TKW655644 TUR655644:TUS655644 UEN655644:UEO655644 UOJ655644:UOK655644 UYF655644:UYG655644 VIB655644:VIC655644 VRX655644:VRY655644 WBT655644:WBU655644 WLP655644:WLQ655644 WVL655644:WVM655644 D721180:E721180 IZ721180:JA721180 SV721180:SW721180 ACR721180:ACS721180 AMN721180:AMO721180 AWJ721180:AWK721180 BGF721180:BGG721180 BQB721180:BQC721180 BZX721180:BZY721180 CJT721180:CJU721180 CTP721180:CTQ721180 DDL721180:DDM721180 DNH721180:DNI721180 DXD721180:DXE721180 EGZ721180:EHA721180 EQV721180:EQW721180 FAR721180:FAS721180 FKN721180:FKO721180 FUJ721180:FUK721180 GEF721180:GEG721180 GOB721180:GOC721180 GXX721180:GXY721180 HHT721180:HHU721180 HRP721180:HRQ721180 IBL721180:IBM721180 ILH721180:ILI721180 IVD721180:IVE721180 JEZ721180:JFA721180 JOV721180:JOW721180 JYR721180:JYS721180 KIN721180:KIO721180 KSJ721180:KSK721180 LCF721180:LCG721180 LMB721180:LMC721180 LVX721180:LVY721180 MFT721180:MFU721180 MPP721180:MPQ721180 MZL721180:MZM721180 NJH721180:NJI721180 NTD721180:NTE721180 OCZ721180:ODA721180 OMV721180:OMW721180 OWR721180:OWS721180 PGN721180:PGO721180 PQJ721180:PQK721180 QAF721180:QAG721180 QKB721180:QKC721180 QTX721180:QTY721180 RDT721180:RDU721180 RNP721180:RNQ721180 RXL721180:RXM721180 SHH721180:SHI721180 SRD721180:SRE721180 TAZ721180:TBA721180 TKV721180:TKW721180 TUR721180:TUS721180 UEN721180:UEO721180 UOJ721180:UOK721180 UYF721180:UYG721180 VIB721180:VIC721180 VRX721180:VRY721180 WBT721180:WBU721180 WLP721180:WLQ721180 WVL721180:WVM721180 D786716:E786716 IZ786716:JA786716 SV786716:SW786716 ACR786716:ACS786716 AMN786716:AMO786716 AWJ786716:AWK786716 BGF786716:BGG786716 BQB786716:BQC786716 BZX786716:BZY786716 CJT786716:CJU786716 CTP786716:CTQ786716 DDL786716:DDM786716 DNH786716:DNI786716 DXD786716:DXE786716 EGZ786716:EHA786716 EQV786716:EQW786716 FAR786716:FAS786716 FKN786716:FKO786716 FUJ786716:FUK786716 GEF786716:GEG786716 GOB786716:GOC786716 GXX786716:GXY786716 HHT786716:HHU786716 HRP786716:HRQ786716 IBL786716:IBM786716 ILH786716:ILI786716 IVD786716:IVE786716 JEZ786716:JFA786716 JOV786716:JOW786716 JYR786716:JYS786716 KIN786716:KIO786716 KSJ786716:KSK786716 LCF786716:LCG786716 LMB786716:LMC786716 LVX786716:LVY786716 MFT786716:MFU786716 MPP786716:MPQ786716 MZL786716:MZM786716 NJH786716:NJI786716 NTD786716:NTE786716 OCZ786716:ODA786716 OMV786716:OMW786716 OWR786716:OWS786716 PGN786716:PGO786716 PQJ786716:PQK786716 QAF786716:QAG786716 QKB786716:QKC786716 QTX786716:QTY786716 RDT786716:RDU786716 RNP786716:RNQ786716 RXL786716:RXM786716 SHH786716:SHI786716 SRD786716:SRE786716 TAZ786716:TBA786716 TKV786716:TKW786716 TUR786716:TUS786716 UEN786716:UEO786716 UOJ786716:UOK786716 UYF786716:UYG786716 VIB786716:VIC786716 VRX786716:VRY786716 WBT786716:WBU786716 WLP786716:WLQ786716 WVL786716:WVM786716 D852252:E852252 IZ852252:JA852252 SV852252:SW852252 ACR852252:ACS852252 AMN852252:AMO852252 AWJ852252:AWK852252 BGF852252:BGG852252 BQB852252:BQC852252 BZX852252:BZY852252 CJT852252:CJU852252 CTP852252:CTQ852252 DDL852252:DDM852252 DNH852252:DNI852252 DXD852252:DXE852252 EGZ852252:EHA852252 EQV852252:EQW852252 FAR852252:FAS852252 FKN852252:FKO852252 FUJ852252:FUK852252 GEF852252:GEG852252 GOB852252:GOC852252 GXX852252:GXY852252 HHT852252:HHU852252 HRP852252:HRQ852252 IBL852252:IBM852252 ILH852252:ILI852252 IVD852252:IVE852252 JEZ852252:JFA852252 JOV852252:JOW852252 JYR852252:JYS852252 KIN852252:KIO852252 KSJ852252:KSK852252 LCF852252:LCG852252 LMB852252:LMC852252 LVX852252:LVY852252 MFT852252:MFU852252 MPP852252:MPQ852252 MZL852252:MZM852252 NJH852252:NJI852252 NTD852252:NTE852252 OCZ852252:ODA852252 OMV852252:OMW852252 OWR852252:OWS852252 PGN852252:PGO852252 PQJ852252:PQK852252 QAF852252:QAG852252 QKB852252:QKC852252 QTX852252:QTY852252 RDT852252:RDU852252 RNP852252:RNQ852252 RXL852252:RXM852252 SHH852252:SHI852252 SRD852252:SRE852252 TAZ852252:TBA852252 TKV852252:TKW852252 TUR852252:TUS852252 UEN852252:UEO852252 UOJ852252:UOK852252 UYF852252:UYG852252 VIB852252:VIC852252 VRX852252:VRY852252 WBT852252:WBU852252 WLP852252:WLQ852252 WVL852252:WVM852252 D917788:E917788 IZ917788:JA917788 SV917788:SW917788 ACR917788:ACS917788 AMN917788:AMO917788 AWJ917788:AWK917788 BGF917788:BGG917788 BQB917788:BQC917788 BZX917788:BZY917788 CJT917788:CJU917788 CTP917788:CTQ917788 DDL917788:DDM917788 DNH917788:DNI917788 DXD917788:DXE917788 EGZ917788:EHA917788 EQV917788:EQW917788 FAR917788:FAS917788 FKN917788:FKO917788 FUJ917788:FUK917788 GEF917788:GEG917788 GOB917788:GOC917788 GXX917788:GXY917788 HHT917788:HHU917788 HRP917788:HRQ917788 IBL917788:IBM917788 ILH917788:ILI917788 IVD917788:IVE917788 JEZ917788:JFA917788 JOV917788:JOW917788 JYR917788:JYS917788 KIN917788:KIO917788 KSJ917788:KSK917788 LCF917788:LCG917788 LMB917788:LMC917788 LVX917788:LVY917788 MFT917788:MFU917788 MPP917788:MPQ917788 MZL917788:MZM917788 NJH917788:NJI917788 NTD917788:NTE917788 OCZ917788:ODA917788 OMV917788:OMW917788 OWR917788:OWS917788 PGN917788:PGO917788 PQJ917788:PQK917788 QAF917788:QAG917788 QKB917788:QKC917788 QTX917788:QTY917788 RDT917788:RDU917788 RNP917788:RNQ917788 RXL917788:RXM917788 SHH917788:SHI917788 SRD917788:SRE917788 TAZ917788:TBA917788 TKV917788:TKW917788 TUR917788:TUS917788 UEN917788:UEO917788 UOJ917788:UOK917788 UYF917788:UYG917788 VIB917788:VIC917788 VRX917788:VRY917788 WBT917788:WBU917788 WLP917788:WLQ917788 WVL917788:WVM917788 D983324:E983324 IZ983324:JA983324 SV983324:SW983324 ACR983324:ACS983324 AMN983324:AMO983324 AWJ983324:AWK983324 BGF983324:BGG983324 BQB983324:BQC983324 BZX983324:BZY983324 CJT983324:CJU983324 CTP983324:CTQ983324 DDL983324:DDM983324 DNH983324:DNI983324 DXD983324:DXE983324 EGZ983324:EHA983324 EQV983324:EQW983324 FAR983324:FAS983324 FKN983324:FKO983324 FUJ983324:FUK983324 GEF983324:GEG983324 GOB983324:GOC983324 GXX983324:GXY983324 HHT983324:HHU983324 HRP983324:HRQ983324 IBL983324:IBM983324 ILH983324:ILI983324 IVD983324:IVE983324 JEZ983324:JFA983324 JOV983324:JOW983324 JYR983324:JYS983324 KIN983324:KIO983324 KSJ983324:KSK983324 LCF983324:LCG983324 LMB983324:LMC983324 LVX983324:LVY983324 MFT983324:MFU983324 MPP983324:MPQ983324 MZL983324:MZM983324 NJH983324:NJI983324 NTD983324:NTE983324 OCZ983324:ODA983324 OMV983324:OMW983324 OWR983324:OWS983324 PGN983324:PGO983324 PQJ983324:PQK983324 QAF983324:QAG983324 QKB983324:QKC983324 QTX983324:QTY983324 RDT983324:RDU983324 RNP983324:RNQ983324 RXL983324:RXM983324 SHH983324:SHI983324 SRD983324:SRE983324 TAZ983324:TBA983324 TKV983324:TKW983324 TUR983324:TUS983324 UEN983324:UEO983324 UOJ983324:UOK983324 UYF983324:UYG983324 VIB983324:VIC983324 VRX983324:VRY983324 WBT983324:WBU983324 WLP983324:WLQ983324 WVL983324:WVM983324" xr:uid="{00000000-0002-0000-0100-000004000000}">
      <formula1>$C$417:$C$426</formula1>
    </dataValidation>
    <dataValidation type="list" allowBlank="1" showInputMessage="1" showErrorMessage="1" sqref="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821:E65821 IZ65821:JA65821 SV65821:SW65821 ACR65821:ACS65821 AMN65821:AMO65821 AWJ65821:AWK65821 BGF65821:BGG65821 BQB65821:BQC65821 BZX65821:BZY65821 CJT65821:CJU65821 CTP65821:CTQ65821 DDL65821:DDM65821 DNH65821:DNI65821 DXD65821:DXE65821 EGZ65821:EHA65821 EQV65821:EQW65821 FAR65821:FAS65821 FKN65821:FKO65821 FUJ65821:FUK65821 GEF65821:GEG65821 GOB65821:GOC65821 GXX65821:GXY65821 HHT65821:HHU65821 HRP65821:HRQ65821 IBL65821:IBM65821 ILH65821:ILI65821 IVD65821:IVE65821 JEZ65821:JFA65821 JOV65821:JOW65821 JYR65821:JYS65821 KIN65821:KIO65821 KSJ65821:KSK65821 LCF65821:LCG65821 LMB65821:LMC65821 LVX65821:LVY65821 MFT65821:MFU65821 MPP65821:MPQ65821 MZL65821:MZM65821 NJH65821:NJI65821 NTD65821:NTE65821 OCZ65821:ODA65821 OMV65821:OMW65821 OWR65821:OWS65821 PGN65821:PGO65821 PQJ65821:PQK65821 QAF65821:QAG65821 QKB65821:QKC65821 QTX65821:QTY65821 RDT65821:RDU65821 RNP65821:RNQ65821 RXL65821:RXM65821 SHH65821:SHI65821 SRD65821:SRE65821 TAZ65821:TBA65821 TKV65821:TKW65821 TUR65821:TUS65821 UEN65821:UEO65821 UOJ65821:UOK65821 UYF65821:UYG65821 VIB65821:VIC65821 VRX65821:VRY65821 WBT65821:WBU65821 WLP65821:WLQ65821 WVL65821:WVM65821 D131357:E131357 IZ131357:JA131357 SV131357:SW131357 ACR131357:ACS131357 AMN131357:AMO131357 AWJ131357:AWK131357 BGF131357:BGG131357 BQB131357:BQC131357 BZX131357:BZY131357 CJT131357:CJU131357 CTP131357:CTQ131357 DDL131357:DDM131357 DNH131357:DNI131357 DXD131357:DXE131357 EGZ131357:EHA131357 EQV131357:EQW131357 FAR131357:FAS131357 FKN131357:FKO131357 FUJ131357:FUK131357 GEF131357:GEG131357 GOB131357:GOC131357 GXX131357:GXY131357 HHT131357:HHU131357 HRP131357:HRQ131357 IBL131357:IBM131357 ILH131357:ILI131357 IVD131357:IVE131357 JEZ131357:JFA131357 JOV131357:JOW131357 JYR131357:JYS131357 KIN131357:KIO131357 KSJ131357:KSK131357 LCF131357:LCG131357 LMB131357:LMC131357 LVX131357:LVY131357 MFT131357:MFU131357 MPP131357:MPQ131357 MZL131357:MZM131357 NJH131357:NJI131357 NTD131357:NTE131357 OCZ131357:ODA131357 OMV131357:OMW131357 OWR131357:OWS131357 PGN131357:PGO131357 PQJ131357:PQK131357 QAF131357:QAG131357 QKB131357:QKC131357 QTX131357:QTY131357 RDT131357:RDU131357 RNP131357:RNQ131357 RXL131357:RXM131357 SHH131357:SHI131357 SRD131357:SRE131357 TAZ131357:TBA131357 TKV131357:TKW131357 TUR131357:TUS131357 UEN131357:UEO131357 UOJ131357:UOK131357 UYF131357:UYG131357 VIB131357:VIC131357 VRX131357:VRY131357 WBT131357:WBU131357 WLP131357:WLQ131357 WVL131357:WVM131357 D196893:E196893 IZ196893:JA196893 SV196893:SW196893 ACR196893:ACS196893 AMN196893:AMO196893 AWJ196893:AWK196893 BGF196893:BGG196893 BQB196893:BQC196893 BZX196893:BZY196893 CJT196893:CJU196893 CTP196893:CTQ196893 DDL196893:DDM196893 DNH196893:DNI196893 DXD196893:DXE196893 EGZ196893:EHA196893 EQV196893:EQW196893 FAR196893:FAS196893 FKN196893:FKO196893 FUJ196893:FUK196893 GEF196893:GEG196893 GOB196893:GOC196893 GXX196893:GXY196893 HHT196893:HHU196893 HRP196893:HRQ196893 IBL196893:IBM196893 ILH196893:ILI196893 IVD196893:IVE196893 JEZ196893:JFA196893 JOV196893:JOW196893 JYR196893:JYS196893 KIN196893:KIO196893 KSJ196893:KSK196893 LCF196893:LCG196893 LMB196893:LMC196893 LVX196893:LVY196893 MFT196893:MFU196893 MPP196893:MPQ196893 MZL196893:MZM196893 NJH196893:NJI196893 NTD196893:NTE196893 OCZ196893:ODA196893 OMV196893:OMW196893 OWR196893:OWS196893 PGN196893:PGO196893 PQJ196893:PQK196893 QAF196893:QAG196893 QKB196893:QKC196893 QTX196893:QTY196893 RDT196893:RDU196893 RNP196893:RNQ196893 RXL196893:RXM196893 SHH196893:SHI196893 SRD196893:SRE196893 TAZ196893:TBA196893 TKV196893:TKW196893 TUR196893:TUS196893 UEN196893:UEO196893 UOJ196893:UOK196893 UYF196893:UYG196893 VIB196893:VIC196893 VRX196893:VRY196893 WBT196893:WBU196893 WLP196893:WLQ196893 WVL196893:WVM196893 D262429:E262429 IZ262429:JA262429 SV262429:SW262429 ACR262429:ACS262429 AMN262429:AMO262429 AWJ262429:AWK262429 BGF262429:BGG262429 BQB262429:BQC262429 BZX262429:BZY262429 CJT262429:CJU262429 CTP262429:CTQ262429 DDL262429:DDM262429 DNH262429:DNI262429 DXD262429:DXE262429 EGZ262429:EHA262429 EQV262429:EQW262429 FAR262429:FAS262429 FKN262429:FKO262429 FUJ262429:FUK262429 GEF262429:GEG262429 GOB262429:GOC262429 GXX262429:GXY262429 HHT262429:HHU262429 HRP262429:HRQ262429 IBL262429:IBM262429 ILH262429:ILI262429 IVD262429:IVE262429 JEZ262429:JFA262429 JOV262429:JOW262429 JYR262429:JYS262429 KIN262429:KIO262429 KSJ262429:KSK262429 LCF262429:LCG262429 LMB262429:LMC262429 LVX262429:LVY262429 MFT262429:MFU262429 MPP262429:MPQ262429 MZL262429:MZM262429 NJH262429:NJI262429 NTD262429:NTE262429 OCZ262429:ODA262429 OMV262429:OMW262429 OWR262429:OWS262429 PGN262429:PGO262429 PQJ262429:PQK262429 QAF262429:QAG262429 QKB262429:QKC262429 QTX262429:QTY262429 RDT262429:RDU262429 RNP262429:RNQ262429 RXL262429:RXM262429 SHH262429:SHI262429 SRD262429:SRE262429 TAZ262429:TBA262429 TKV262429:TKW262429 TUR262429:TUS262429 UEN262429:UEO262429 UOJ262429:UOK262429 UYF262429:UYG262429 VIB262429:VIC262429 VRX262429:VRY262429 WBT262429:WBU262429 WLP262429:WLQ262429 WVL262429:WVM262429 D327965:E327965 IZ327965:JA327965 SV327965:SW327965 ACR327965:ACS327965 AMN327965:AMO327965 AWJ327965:AWK327965 BGF327965:BGG327965 BQB327965:BQC327965 BZX327965:BZY327965 CJT327965:CJU327965 CTP327965:CTQ327965 DDL327965:DDM327965 DNH327965:DNI327965 DXD327965:DXE327965 EGZ327965:EHA327965 EQV327965:EQW327965 FAR327965:FAS327965 FKN327965:FKO327965 FUJ327965:FUK327965 GEF327965:GEG327965 GOB327965:GOC327965 GXX327965:GXY327965 HHT327965:HHU327965 HRP327965:HRQ327965 IBL327965:IBM327965 ILH327965:ILI327965 IVD327965:IVE327965 JEZ327965:JFA327965 JOV327965:JOW327965 JYR327965:JYS327965 KIN327965:KIO327965 KSJ327965:KSK327965 LCF327965:LCG327965 LMB327965:LMC327965 LVX327965:LVY327965 MFT327965:MFU327965 MPP327965:MPQ327965 MZL327965:MZM327965 NJH327965:NJI327965 NTD327965:NTE327965 OCZ327965:ODA327965 OMV327965:OMW327965 OWR327965:OWS327965 PGN327965:PGO327965 PQJ327965:PQK327965 QAF327965:QAG327965 QKB327965:QKC327965 QTX327965:QTY327965 RDT327965:RDU327965 RNP327965:RNQ327965 RXL327965:RXM327965 SHH327965:SHI327965 SRD327965:SRE327965 TAZ327965:TBA327965 TKV327965:TKW327965 TUR327965:TUS327965 UEN327965:UEO327965 UOJ327965:UOK327965 UYF327965:UYG327965 VIB327965:VIC327965 VRX327965:VRY327965 WBT327965:WBU327965 WLP327965:WLQ327965 WVL327965:WVM327965 D393501:E393501 IZ393501:JA393501 SV393501:SW393501 ACR393501:ACS393501 AMN393501:AMO393501 AWJ393501:AWK393501 BGF393501:BGG393501 BQB393501:BQC393501 BZX393501:BZY393501 CJT393501:CJU393501 CTP393501:CTQ393501 DDL393501:DDM393501 DNH393501:DNI393501 DXD393501:DXE393501 EGZ393501:EHA393501 EQV393501:EQW393501 FAR393501:FAS393501 FKN393501:FKO393501 FUJ393501:FUK393501 GEF393501:GEG393501 GOB393501:GOC393501 GXX393501:GXY393501 HHT393501:HHU393501 HRP393501:HRQ393501 IBL393501:IBM393501 ILH393501:ILI393501 IVD393501:IVE393501 JEZ393501:JFA393501 JOV393501:JOW393501 JYR393501:JYS393501 KIN393501:KIO393501 KSJ393501:KSK393501 LCF393501:LCG393501 LMB393501:LMC393501 LVX393501:LVY393501 MFT393501:MFU393501 MPP393501:MPQ393501 MZL393501:MZM393501 NJH393501:NJI393501 NTD393501:NTE393501 OCZ393501:ODA393501 OMV393501:OMW393501 OWR393501:OWS393501 PGN393501:PGO393501 PQJ393501:PQK393501 QAF393501:QAG393501 QKB393501:QKC393501 QTX393501:QTY393501 RDT393501:RDU393501 RNP393501:RNQ393501 RXL393501:RXM393501 SHH393501:SHI393501 SRD393501:SRE393501 TAZ393501:TBA393501 TKV393501:TKW393501 TUR393501:TUS393501 UEN393501:UEO393501 UOJ393501:UOK393501 UYF393501:UYG393501 VIB393501:VIC393501 VRX393501:VRY393501 WBT393501:WBU393501 WLP393501:WLQ393501 WVL393501:WVM393501 D459037:E459037 IZ459037:JA459037 SV459037:SW459037 ACR459037:ACS459037 AMN459037:AMO459037 AWJ459037:AWK459037 BGF459037:BGG459037 BQB459037:BQC459037 BZX459037:BZY459037 CJT459037:CJU459037 CTP459037:CTQ459037 DDL459037:DDM459037 DNH459037:DNI459037 DXD459037:DXE459037 EGZ459037:EHA459037 EQV459037:EQW459037 FAR459037:FAS459037 FKN459037:FKO459037 FUJ459037:FUK459037 GEF459037:GEG459037 GOB459037:GOC459037 GXX459037:GXY459037 HHT459037:HHU459037 HRP459037:HRQ459037 IBL459037:IBM459037 ILH459037:ILI459037 IVD459037:IVE459037 JEZ459037:JFA459037 JOV459037:JOW459037 JYR459037:JYS459037 KIN459037:KIO459037 KSJ459037:KSK459037 LCF459037:LCG459037 LMB459037:LMC459037 LVX459037:LVY459037 MFT459037:MFU459037 MPP459037:MPQ459037 MZL459037:MZM459037 NJH459037:NJI459037 NTD459037:NTE459037 OCZ459037:ODA459037 OMV459037:OMW459037 OWR459037:OWS459037 PGN459037:PGO459037 PQJ459037:PQK459037 QAF459037:QAG459037 QKB459037:QKC459037 QTX459037:QTY459037 RDT459037:RDU459037 RNP459037:RNQ459037 RXL459037:RXM459037 SHH459037:SHI459037 SRD459037:SRE459037 TAZ459037:TBA459037 TKV459037:TKW459037 TUR459037:TUS459037 UEN459037:UEO459037 UOJ459037:UOK459037 UYF459037:UYG459037 VIB459037:VIC459037 VRX459037:VRY459037 WBT459037:WBU459037 WLP459037:WLQ459037 WVL459037:WVM459037 D524573:E524573 IZ524573:JA524573 SV524573:SW524573 ACR524573:ACS524573 AMN524573:AMO524573 AWJ524573:AWK524573 BGF524573:BGG524573 BQB524573:BQC524573 BZX524573:BZY524573 CJT524573:CJU524573 CTP524573:CTQ524573 DDL524573:DDM524573 DNH524573:DNI524573 DXD524573:DXE524573 EGZ524573:EHA524573 EQV524573:EQW524573 FAR524573:FAS524573 FKN524573:FKO524573 FUJ524573:FUK524573 GEF524573:GEG524573 GOB524573:GOC524573 GXX524573:GXY524573 HHT524573:HHU524573 HRP524573:HRQ524573 IBL524573:IBM524573 ILH524573:ILI524573 IVD524573:IVE524573 JEZ524573:JFA524573 JOV524573:JOW524573 JYR524573:JYS524573 KIN524573:KIO524573 KSJ524573:KSK524573 LCF524573:LCG524573 LMB524573:LMC524573 LVX524573:LVY524573 MFT524573:MFU524573 MPP524573:MPQ524573 MZL524573:MZM524573 NJH524573:NJI524573 NTD524573:NTE524573 OCZ524573:ODA524573 OMV524573:OMW524573 OWR524573:OWS524573 PGN524573:PGO524573 PQJ524573:PQK524573 QAF524573:QAG524573 QKB524573:QKC524573 QTX524573:QTY524573 RDT524573:RDU524573 RNP524573:RNQ524573 RXL524573:RXM524573 SHH524573:SHI524573 SRD524573:SRE524573 TAZ524573:TBA524573 TKV524573:TKW524573 TUR524573:TUS524573 UEN524573:UEO524573 UOJ524573:UOK524573 UYF524573:UYG524573 VIB524573:VIC524573 VRX524573:VRY524573 WBT524573:WBU524573 WLP524573:WLQ524573 WVL524573:WVM524573 D590109:E590109 IZ590109:JA590109 SV590109:SW590109 ACR590109:ACS590109 AMN590109:AMO590109 AWJ590109:AWK590109 BGF590109:BGG590109 BQB590109:BQC590109 BZX590109:BZY590109 CJT590109:CJU590109 CTP590109:CTQ590109 DDL590109:DDM590109 DNH590109:DNI590109 DXD590109:DXE590109 EGZ590109:EHA590109 EQV590109:EQW590109 FAR590109:FAS590109 FKN590109:FKO590109 FUJ590109:FUK590109 GEF590109:GEG590109 GOB590109:GOC590109 GXX590109:GXY590109 HHT590109:HHU590109 HRP590109:HRQ590109 IBL590109:IBM590109 ILH590109:ILI590109 IVD590109:IVE590109 JEZ590109:JFA590109 JOV590109:JOW590109 JYR590109:JYS590109 KIN590109:KIO590109 KSJ590109:KSK590109 LCF590109:LCG590109 LMB590109:LMC590109 LVX590109:LVY590109 MFT590109:MFU590109 MPP590109:MPQ590109 MZL590109:MZM590109 NJH590109:NJI590109 NTD590109:NTE590109 OCZ590109:ODA590109 OMV590109:OMW590109 OWR590109:OWS590109 PGN590109:PGO590109 PQJ590109:PQK590109 QAF590109:QAG590109 QKB590109:QKC590109 QTX590109:QTY590109 RDT590109:RDU590109 RNP590109:RNQ590109 RXL590109:RXM590109 SHH590109:SHI590109 SRD590109:SRE590109 TAZ590109:TBA590109 TKV590109:TKW590109 TUR590109:TUS590109 UEN590109:UEO590109 UOJ590109:UOK590109 UYF590109:UYG590109 VIB590109:VIC590109 VRX590109:VRY590109 WBT590109:WBU590109 WLP590109:WLQ590109 WVL590109:WVM590109 D655645:E655645 IZ655645:JA655645 SV655645:SW655645 ACR655645:ACS655645 AMN655645:AMO655645 AWJ655645:AWK655645 BGF655645:BGG655645 BQB655645:BQC655645 BZX655645:BZY655645 CJT655645:CJU655645 CTP655645:CTQ655645 DDL655645:DDM655645 DNH655645:DNI655645 DXD655645:DXE655645 EGZ655645:EHA655645 EQV655645:EQW655645 FAR655645:FAS655645 FKN655645:FKO655645 FUJ655645:FUK655645 GEF655645:GEG655645 GOB655645:GOC655645 GXX655645:GXY655645 HHT655645:HHU655645 HRP655645:HRQ655645 IBL655645:IBM655645 ILH655645:ILI655645 IVD655645:IVE655645 JEZ655645:JFA655645 JOV655645:JOW655645 JYR655645:JYS655645 KIN655645:KIO655645 KSJ655645:KSK655645 LCF655645:LCG655645 LMB655645:LMC655645 LVX655645:LVY655645 MFT655645:MFU655645 MPP655645:MPQ655645 MZL655645:MZM655645 NJH655645:NJI655645 NTD655645:NTE655645 OCZ655645:ODA655645 OMV655645:OMW655645 OWR655645:OWS655645 PGN655645:PGO655645 PQJ655645:PQK655645 QAF655645:QAG655645 QKB655645:QKC655645 QTX655645:QTY655645 RDT655645:RDU655645 RNP655645:RNQ655645 RXL655645:RXM655645 SHH655645:SHI655645 SRD655645:SRE655645 TAZ655645:TBA655645 TKV655645:TKW655645 TUR655645:TUS655645 UEN655645:UEO655645 UOJ655645:UOK655645 UYF655645:UYG655645 VIB655645:VIC655645 VRX655645:VRY655645 WBT655645:WBU655645 WLP655645:WLQ655645 WVL655645:WVM655645 D721181:E721181 IZ721181:JA721181 SV721181:SW721181 ACR721181:ACS721181 AMN721181:AMO721181 AWJ721181:AWK721181 BGF721181:BGG721181 BQB721181:BQC721181 BZX721181:BZY721181 CJT721181:CJU721181 CTP721181:CTQ721181 DDL721181:DDM721181 DNH721181:DNI721181 DXD721181:DXE721181 EGZ721181:EHA721181 EQV721181:EQW721181 FAR721181:FAS721181 FKN721181:FKO721181 FUJ721181:FUK721181 GEF721181:GEG721181 GOB721181:GOC721181 GXX721181:GXY721181 HHT721181:HHU721181 HRP721181:HRQ721181 IBL721181:IBM721181 ILH721181:ILI721181 IVD721181:IVE721181 JEZ721181:JFA721181 JOV721181:JOW721181 JYR721181:JYS721181 KIN721181:KIO721181 KSJ721181:KSK721181 LCF721181:LCG721181 LMB721181:LMC721181 LVX721181:LVY721181 MFT721181:MFU721181 MPP721181:MPQ721181 MZL721181:MZM721181 NJH721181:NJI721181 NTD721181:NTE721181 OCZ721181:ODA721181 OMV721181:OMW721181 OWR721181:OWS721181 PGN721181:PGO721181 PQJ721181:PQK721181 QAF721181:QAG721181 QKB721181:QKC721181 QTX721181:QTY721181 RDT721181:RDU721181 RNP721181:RNQ721181 RXL721181:RXM721181 SHH721181:SHI721181 SRD721181:SRE721181 TAZ721181:TBA721181 TKV721181:TKW721181 TUR721181:TUS721181 UEN721181:UEO721181 UOJ721181:UOK721181 UYF721181:UYG721181 VIB721181:VIC721181 VRX721181:VRY721181 WBT721181:WBU721181 WLP721181:WLQ721181 WVL721181:WVM721181 D786717:E786717 IZ786717:JA786717 SV786717:SW786717 ACR786717:ACS786717 AMN786717:AMO786717 AWJ786717:AWK786717 BGF786717:BGG786717 BQB786717:BQC786717 BZX786717:BZY786717 CJT786717:CJU786717 CTP786717:CTQ786717 DDL786717:DDM786717 DNH786717:DNI786717 DXD786717:DXE786717 EGZ786717:EHA786717 EQV786717:EQW786717 FAR786717:FAS786717 FKN786717:FKO786717 FUJ786717:FUK786717 GEF786717:GEG786717 GOB786717:GOC786717 GXX786717:GXY786717 HHT786717:HHU786717 HRP786717:HRQ786717 IBL786717:IBM786717 ILH786717:ILI786717 IVD786717:IVE786717 JEZ786717:JFA786717 JOV786717:JOW786717 JYR786717:JYS786717 KIN786717:KIO786717 KSJ786717:KSK786717 LCF786717:LCG786717 LMB786717:LMC786717 LVX786717:LVY786717 MFT786717:MFU786717 MPP786717:MPQ786717 MZL786717:MZM786717 NJH786717:NJI786717 NTD786717:NTE786717 OCZ786717:ODA786717 OMV786717:OMW786717 OWR786717:OWS786717 PGN786717:PGO786717 PQJ786717:PQK786717 QAF786717:QAG786717 QKB786717:QKC786717 QTX786717:QTY786717 RDT786717:RDU786717 RNP786717:RNQ786717 RXL786717:RXM786717 SHH786717:SHI786717 SRD786717:SRE786717 TAZ786717:TBA786717 TKV786717:TKW786717 TUR786717:TUS786717 UEN786717:UEO786717 UOJ786717:UOK786717 UYF786717:UYG786717 VIB786717:VIC786717 VRX786717:VRY786717 WBT786717:WBU786717 WLP786717:WLQ786717 WVL786717:WVM786717 D852253:E852253 IZ852253:JA852253 SV852253:SW852253 ACR852253:ACS852253 AMN852253:AMO852253 AWJ852253:AWK852253 BGF852253:BGG852253 BQB852253:BQC852253 BZX852253:BZY852253 CJT852253:CJU852253 CTP852253:CTQ852253 DDL852253:DDM852253 DNH852253:DNI852253 DXD852253:DXE852253 EGZ852253:EHA852253 EQV852253:EQW852253 FAR852253:FAS852253 FKN852253:FKO852253 FUJ852253:FUK852253 GEF852253:GEG852253 GOB852253:GOC852253 GXX852253:GXY852253 HHT852253:HHU852253 HRP852253:HRQ852253 IBL852253:IBM852253 ILH852253:ILI852253 IVD852253:IVE852253 JEZ852253:JFA852253 JOV852253:JOW852253 JYR852253:JYS852253 KIN852253:KIO852253 KSJ852253:KSK852253 LCF852253:LCG852253 LMB852253:LMC852253 LVX852253:LVY852253 MFT852253:MFU852253 MPP852253:MPQ852253 MZL852253:MZM852253 NJH852253:NJI852253 NTD852253:NTE852253 OCZ852253:ODA852253 OMV852253:OMW852253 OWR852253:OWS852253 PGN852253:PGO852253 PQJ852253:PQK852253 QAF852253:QAG852253 QKB852253:QKC852253 QTX852253:QTY852253 RDT852253:RDU852253 RNP852253:RNQ852253 RXL852253:RXM852253 SHH852253:SHI852253 SRD852253:SRE852253 TAZ852253:TBA852253 TKV852253:TKW852253 TUR852253:TUS852253 UEN852253:UEO852253 UOJ852253:UOK852253 UYF852253:UYG852253 VIB852253:VIC852253 VRX852253:VRY852253 WBT852253:WBU852253 WLP852253:WLQ852253 WVL852253:WVM852253 D917789:E917789 IZ917789:JA917789 SV917789:SW917789 ACR917789:ACS917789 AMN917789:AMO917789 AWJ917789:AWK917789 BGF917789:BGG917789 BQB917789:BQC917789 BZX917789:BZY917789 CJT917789:CJU917789 CTP917789:CTQ917789 DDL917789:DDM917789 DNH917789:DNI917789 DXD917789:DXE917789 EGZ917789:EHA917789 EQV917789:EQW917789 FAR917789:FAS917789 FKN917789:FKO917789 FUJ917789:FUK917789 GEF917789:GEG917789 GOB917789:GOC917789 GXX917789:GXY917789 HHT917789:HHU917789 HRP917789:HRQ917789 IBL917789:IBM917789 ILH917789:ILI917789 IVD917789:IVE917789 JEZ917789:JFA917789 JOV917789:JOW917789 JYR917789:JYS917789 KIN917789:KIO917789 KSJ917789:KSK917789 LCF917789:LCG917789 LMB917789:LMC917789 LVX917789:LVY917789 MFT917789:MFU917789 MPP917789:MPQ917789 MZL917789:MZM917789 NJH917789:NJI917789 NTD917789:NTE917789 OCZ917789:ODA917789 OMV917789:OMW917789 OWR917789:OWS917789 PGN917789:PGO917789 PQJ917789:PQK917789 QAF917789:QAG917789 QKB917789:QKC917789 QTX917789:QTY917789 RDT917789:RDU917789 RNP917789:RNQ917789 RXL917789:RXM917789 SHH917789:SHI917789 SRD917789:SRE917789 TAZ917789:TBA917789 TKV917789:TKW917789 TUR917789:TUS917789 UEN917789:UEO917789 UOJ917789:UOK917789 UYF917789:UYG917789 VIB917789:VIC917789 VRX917789:VRY917789 WBT917789:WBU917789 WLP917789:WLQ917789 WVL917789:WVM917789 D983325:E983325 IZ983325:JA983325 SV983325:SW983325 ACR983325:ACS983325 AMN983325:AMO983325 AWJ983325:AWK983325 BGF983325:BGG983325 BQB983325:BQC983325 BZX983325:BZY983325 CJT983325:CJU983325 CTP983325:CTQ983325 DDL983325:DDM983325 DNH983325:DNI983325 DXD983325:DXE983325 EGZ983325:EHA983325 EQV983325:EQW983325 FAR983325:FAS983325 FKN983325:FKO983325 FUJ983325:FUK983325 GEF983325:GEG983325 GOB983325:GOC983325 GXX983325:GXY983325 HHT983325:HHU983325 HRP983325:HRQ983325 IBL983325:IBM983325 ILH983325:ILI983325 IVD983325:IVE983325 JEZ983325:JFA983325 JOV983325:JOW983325 JYR983325:JYS983325 KIN983325:KIO983325 KSJ983325:KSK983325 LCF983325:LCG983325 LMB983325:LMC983325 LVX983325:LVY983325 MFT983325:MFU983325 MPP983325:MPQ983325 MZL983325:MZM983325 NJH983325:NJI983325 NTD983325:NTE983325 OCZ983325:ODA983325 OMV983325:OMW983325 OWR983325:OWS983325 PGN983325:PGO983325 PQJ983325:PQK983325 QAF983325:QAG983325 QKB983325:QKC983325 QTX983325:QTY983325 RDT983325:RDU983325 RNP983325:RNQ983325 RXL983325:RXM983325 SHH983325:SHI983325 SRD983325:SRE983325 TAZ983325:TBA983325 TKV983325:TKW983325 TUR983325:TUS983325 UEN983325:UEO983325 UOJ983325:UOK983325 UYF983325:UYG983325 VIB983325:VIC983325 VRX983325:VRY983325 WBT983325:WBU983325 WLP983325:WLQ983325 WVL983325:WVM983325" xr:uid="{00000000-0002-0000-0100-000005000000}">
      <formula1>$D$417:$D$421</formula1>
    </dataValidation>
    <dataValidation type="list" allowBlank="1" showInputMessage="1" showErrorMessage="1" sqref="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823:E65823 IZ65823:JA65823 SV65823:SW65823 ACR65823:ACS65823 AMN65823:AMO65823 AWJ65823:AWK65823 BGF65823:BGG65823 BQB65823:BQC65823 BZX65823:BZY65823 CJT65823:CJU65823 CTP65823:CTQ65823 DDL65823:DDM65823 DNH65823:DNI65823 DXD65823:DXE65823 EGZ65823:EHA65823 EQV65823:EQW65823 FAR65823:FAS65823 FKN65823:FKO65823 FUJ65823:FUK65823 GEF65823:GEG65823 GOB65823:GOC65823 GXX65823:GXY65823 HHT65823:HHU65823 HRP65823:HRQ65823 IBL65823:IBM65823 ILH65823:ILI65823 IVD65823:IVE65823 JEZ65823:JFA65823 JOV65823:JOW65823 JYR65823:JYS65823 KIN65823:KIO65823 KSJ65823:KSK65823 LCF65823:LCG65823 LMB65823:LMC65823 LVX65823:LVY65823 MFT65823:MFU65823 MPP65823:MPQ65823 MZL65823:MZM65823 NJH65823:NJI65823 NTD65823:NTE65823 OCZ65823:ODA65823 OMV65823:OMW65823 OWR65823:OWS65823 PGN65823:PGO65823 PQJ65823:PQK65823 QAF65823:QAG65823 QKB65823:QKC65823 QTX65823:QTY65823 RDT65823:RDU65823 RNP65823:RNQ65823 RXL65823:RXM65823 SHH65823:SHI65823 SRD65823:SRE65823 TAZ65823:TBA65823 TKV65823:TKW65823 TUR65823:TUS65823 UEN65823:UEO65823 UOJ65823:UOK65823 UYF65823:UYG65823 VIB65823:VIC65823 VRX65823:VRY65823 WBT65823:WBU65823 WLP65823:WLQ65823 WVL65823:WVM65823 D131359:E131359 IZ131359:JA131359 SV131359:SW131359 ACR131359:ACS131359 AMN131359:AMO131359 AWJ131359:AWK131359 BGF131359:BGG131359 BQB131359:BQC131359 BZX131359:BZY131359 CJT131359:CJU131359 CTP131359:CTQ131359 DDL131359:DDM131359 DNH131359:DNI131359 DXD131359:DXE131359 EGZ131359:EHA131359 EQV131359:EQW131359 FAR131359:FAS131359 FKN131359:FKO131359 FUJ131359:FUK131359 GEF131359:GEG131359 GOB131359:GOC131359 GXX131359:GXY131359 HHT131359:HHU131359 HRP131359:HRQ131359 IBL131359:IBM131359 ILH131359:ILI131359 IVD131359:IVE131359 JEZ131359:JFA131359 JOV131359:JOW131359 JYR131359:JYS131359 KIN131359:KIO131359 KSJ131359:KSK131359 LCF131359:LCG131359 LMB131359:LMC131359 LVX131359:LVY131359 MFT131359:MFU131359 MPP131359:MPQ131359 MZL131359:MZM131359 NJH131359:NJI131359 NTD131359:NTE131359 OCZ131359:ODA131359 OMV131359:OMW131359 OWR131359:OWS131359 PGN131359:PGO131359 PQJ131359:PQK131359 QAF131359:QAG131359 QKB131359:QKC131359 QTX131359:QTY131359 RDT131359:RDU131359 RNP131359:RNQ131359 RXL131359:RXM131359 SHH131359:SHI131359 SRD131359:SRE131359 TAZ131359:TBA131359 TKV131359:TKW131359 TUR131359:TUS131359 UEN131359:UEO131359 UOJ131359:UOK131359 UYF131359:UYG131359 VIB131359:VIC131359 VRX131359:VRY131359 WBT131359:WBU131359 WLP131359:WLQ131359 WVL131359:WVM131359 D196895:E196895 IZ196895:JA196895 SV196895:SW196895 ACR196895:ACS196895 AMN196895:AMO196895 AWJ196895:AWK196895 BGF196895:BGG196895 BQB196895:BQC196895 BZX196895:BZY196895 CJT196895:CJU196895 CTP196895:CTQ196895 DDL196895:DDM196895 DNH196895:DNI196895 DXD196895:DXE196895 EGZ196895:EHA196895 EQV196895:EQW196895 FAR196895:FAS196895 FKN196895:FKO196895 FUJ196895:FUK196895 GEF196895:GEG196895 GOB196895:GOC196895 GXX196895:GXY196895 HHT196895:HHU196895 HRP196895:HRQ196895 IBL196895:IBM196895 ILH196895:ILI196895 IVD196895:IVE196895 JEZ196895:JFA196895 JOV196895:JOW196895 JYR196895:JYS196895 KIN196895:KIO196895 KSJ196895:KSK196895 LCF196895:LCG196895 LMB196895:LMC196895 LVX196895:LVY196895 MFT196895:MFU196895 MPP196895:MPQ196895 MZL196895:MZM196895 NJH196895:NJI196895 NTD196895:NTE196895 OCZ196895:ODA196895 OMV196895:OMW196895 OWR196895:OWS196895 PGN196895:PGO196895 PQJ196895:PQK196895 QAF196895:QAG196895 QKB196895:QKC196895 QTX196895:QTY196895 RDT196895:RDU196895 RNP196895:RNQ196895 RXL196895:RXM196895 SHH196895:SHI196895 SRD196895:SRE196895 TAZ196895:TBA196895 TKV196895:TKW196895 TUR196895:TUS196895 UEN196895:UEO196895 UOJ196895:UOK196895 UYF196895:UYG196895 VIB196895:VIC196895 VRX196895:VRY196895 WBT196895:WBU196895 WLP196895:WLQ196895 WVL196895:WVM196895 D262431:E262431 IZ262431:JA262431 SV262431:SW262431 ACR262431:ACS262431 AMN262431:AMO262431 AWJ262431:AWK262431 BGF262431:BGG262431 BQB262431:BQC262431 BZX262431:BZY262431 CJT262431:CJU262431 CTP262431:CTQ262431 DDL262431:DDM262431 DNH262431:DNI262431 DXD262431:DXE262431 EGZ262431:EHA262431 EQV262431:EQW262431 FAR262431:FAS262431 FKN262431:FKO262431 FUJ262431:FUK262431 GEF262431:GEG262431 GOB262431:GOC262431 GXX262431:GXY262431 HHT262431:HHU262431 HRP262431:HRQ262431 IBL262431:IBM262431 ILH262431:ILI262431 IVD262431:IVE262431 JEZ262431:JFA262431 JOV262431:JOW262431 JYR262431:JYS262431 KIN262431:KIO262431 KSJ262431:KSK262431 LCF262431:LCG262431 LMB262431:LMC262431 LVX262431:LVY262431 MFT262431:MFU262431 MPP262431:MPQ262431 MZL262431:MZM262431 NJH262431:NJI262431 NTD262431:NTE262431 OCZ262431:ODA262431 OMV262431:OMW262431 OWR262431:OWS262431 PGN262431:PGO262431 PQJ262431:PQK262431 QAF262431:QAG262431 QKB262431:QKC262431 QTX262431:QTY262431 RDT262431:RDU262431 RNP262431:RNQ262431 RXL262431:RXM262431 SHH262431:SHI262431 SRD262431:SRE262431 TAZ262431:TBA262431 TKV262431:TKW262431 TUR262431:TUS262431 UEN262431:UEO262431 UOJ262431:UOK262431 UYF262431:UYG262431 VIB262431:VIC262431 VRX262431:VRY262431 WBT262431:WBU262431 WLP262431:WLQ262431 WVL262431:WVM262431 D327967:E327967 IZ327967:JA327967 SV327967:SW327967 ACR327967:ACS327967 AMN327967:AMO327967 AWJ327967:AWK327967 BGF327967:BGG327967 BQB327967:BQC327967 BZX327967:BZY327967 CJT327967:CJU327967 CTP327967:CTQ327967 DDL327967:DDM327967 DNH327967:DNI327967 DXD327967:DXE327967 EGZ327967:EHA327967 EQV327967:EQW327967 FAR327967:FAS327967 FKN327967:FKO327967 FUJ327967:FUK327967 GEF327967:GEG327967 GOB327967:GOC327967 GXX327967:GXY327967 HHT327967:HHU327967 HRP327967:HRQ327967 IBL327967:IBM327967 ILH327967:ILI327967 IVD327967:IVE327967 JEZ327967:JFA327967 JOV327967:JOW327967 JYR327967:JYS327967 KIN327967:KIO327967 KSJ327967:KSK327967 LCF327967:LCG327967 LMB327967:LMC327967 LVX327967:LVY327967 MFT327967:MFU327967 MPP327967:MPQ327967 MZL327967:MZM327967 NJH327967:NJI327967 NTD327967:NTE327967 OCZ327967:ODA327967 OMV327967:OMW327967 OWR327967:OWS327967 PGN327967:PGO327967 PQJ327967:PQK327967 QAF327967:QAG327967 QKB327967:QKC327967 QTX327967:QTY327967 RDT327967:RDU327967 RNP327967:RNQ327967 RXL327967:RXM327967 SHH327967:SHI327967 SRD327967:SRE327967 TAZ327967:TBA327967 TKV327967:TKW327967 TUR327967:TUS327967 UEN327967:UEO327967 UOJ327967:UOK327967 UYF327967:UYG327967 VIB327967:VIC327967 VRX327967:VRY327967 WBT327967:WBU327967 WLP327967:WLQ327967 WVL327967:WVM327967 D393503:E393503 IZ393503:JA393503 SV393503:SW393503 ACR393503:ACS393503 AMN393503:AMO393503 AWJ393503:AWK393503 BGF393503:BGG393503 BQB393503:BQC393503 BZX393503:BZY393503 CJT393503:CJU393503 CTP393503:CTQ393503 DDL393503:DDM393503 DNH393503:DNI393503 DXD393503:DXE393503 EGZ393503:EHA393503 EQV393503:EQW393503 FAR393503:FAS393503 FKN393503:FKO393503 FUJ393503:FUK393503 GEF393503:GEG393503 GOB393503:GOC393503 GXX393503:GXY393503 HHT393503:HHU393503 HRP393503:HRQ393503 IBL393503:IBM393503 ILH393503:ILI393503 IVD393503:IVE393503 JEZ393503:JFA393503 JOV393503:JOW393503 JYR393503:JYS393503 KIN393503:KIO393503 KSJ393503:KSK393503 LCF393503:LCG393503 LMB393503:LMC393503 LVX393503:LVY393503 MFT393503:MFU393503 MPP393503:MPQ393503 MZL393503:MZM393503 NJH393503:NJI393503 NTD393503:NTE393503 OCZ393503:ODA393503 OMV393503:OMW393503 OWR393503:OWS393503 PGN393503:PGO393503 PQJ393503:PQK393503 QAF393503:QAG393503 QKB393503:QKC393503 QTX393503:QTY393503 RDT393503:RDU393503 RNP393503:RNQ393503 RXL393503:RXM393503 SHH393503:SHI393503 SRD393503:SRE393503 TAZ393503:TBA393503 TKV393503:TKW393503 TUR393503:TUS393503 UEN393503:UEO393503 UOJ393503:UOK393503 UYF393503:UYG393503 VIB393503:VIC393503 VRX393503:VRY393503 WBT393503:WBU393503 WLP393503:WLQ393503 WVL393503:WVM393503 D459039:E459039 IZ459039:JA459039 SV459039:SW459039 ACR459039:ACS459039 AMN459039:AMO459039 AWJ459039:AWK459039 BGF459039:BGG459039 BQB459039:BQC459039 BZX459039:BZY459039 CJT459039:CJU459039 CTP459039:CTQ459039 DDL459039:DDM459039 DNH459039:DNI459039 DXD459039:DXE459039 EGZ459039:EHA459039 EQV459039:EQW459039 FAR459039:FAS459039 FKN459039:FKO459039 FUJ459039:FUK459039 GEF459039:GEG459039 GOB459039:GOC459039 GXX459039:GXY459039 HHT459039:HHU459039 HRP459039:HRQ459039 IBL459039:IBM459039 ILH459039:ILI459039 IVD459039:IVE459039 JEZ459039:JFA459039 JOV459039:JOW459039 JYR459039:JYS459039 KIN459039:KIO459039 KSJ459039:KSK459039 LCF459039:LCG459039 LMB459039:LMC459039 LVX459039:LVY459039 MFT459039:MFU459039 MPP459039:MPQ459039 MZL459039:MZM459039 NJH459039:NJI459039 NTD459039:NTE459039 OCZ459039:ODA459039 OMV459039:OMW459039 OWR459039:OWS459039 PGN459039:PGO459039 PQJ459039:PQK459039 QAF459039:QAG459039 QKB459039:QKC459039 QTX459039:QTY459039 RDT459039:RDU459039 RNP459039:RNQ459039 RXL459039:RXM459039 SHH459039:SHI459039 SRD459039:SRE459039 TAZ459039:TBA459039 TKV459039:TKW459039 TUR459039:TUS459039 UEN459039:UEO459039 UOJ459039:UOK459039 UYF459039:UYG459039 VIB459039:VIC459039 VRX459039:VRY459039 WBT459039:WBU459039 WLP459039:WLQ459039 WVL459039:WVM459039 D524575:E524575 IZ524575:JA524575 SV524575:SW524575 ACR524575:ACS524575 AMN524575:AMO524575 AWJ524575:AWK524575 BGF524575:BGG524575 BQB524575:BQC524575 BZX524575:BZY524575 CJT524575:CJU524575 CTP524575:CTQ524575 DDL524575:DDM524575 DNH524575:DNI524575 DXD524575:DXE524575 EGZ524575:EHA524575 EQV524575:EQW524575 FAR524575:FAS524575 FKN524575:FKO524575 FUJ524575:FUK524575 GEF524575:GEG524575 GOB524575:GOC524575 GXX524575:GXY524575 HHT524575:HHU524575 HRP524575:HRQ524575 IBL524575:IBM524575 ILH524575:ILI524575 IVD524575:IVE524575 JEZ524575:JFA524575 JOV524575:JOW524575 JYR524575:JYS524575 KIN524575:KIO524575 KSJ524575:KSK524575 LCF524575:LCG524575 LMB524575:LMC524575 LVX524575:LVY524575 MFT524575:MFU524575 MPP524575:MPQ524575 MZL524575:MZM524575 NJH524575:NJI524575 NTD524575:NTE524575 OCZ524575:ODA524575 OMV524575:OMW524575 OWR524575:OWS524575 PGN524575:PGO524575 PQJ524575:PQK524575 QAF524575:QAG524575 QKB524575:QKC524575 QTX524575:QTY524575 RDT524575:RDU524575 RNP524575:RNQ524575 RXL524575:RXM524575 SHH524575:SHI524575 SRD524575:SRE524575 TAZ524575:TBA524575 TKV524575:TKW524575 TUR524575:TUS524575 UEN524575:UEO524575 UOJ524575:UOK524575 UYF524575:UYG524575 VIB524575:VIC524575 VRX524575:VRY524575 WBT524575:WBU524575 WLP524575:WLQ524575 WVL524575:WVM524575 D590111:E590111 IZ590111:JA590111 SV590111:SW590111 ACR590111:ACS590111 AMN590111:AMO590111 AWJ590111:AWK590111 BGF590111:BGG590111 BQB590111:BQC590111 BZX590111:BZY590111 CJT590111:CJU590111 CTP590111:CTQ590111 DDL590111:DDM590111 DNH590111:DNI590111 DXD590111:DXE590111 EGZ590111:EHA590111 EQV590111:EQW590111 FAR590111:FAS590111 FKN590111:FKO590111 FUJ590111:FUK590111 GEF590111:GEG590111 GOB590111:GOC590111 GXX590111:GXY590111 HHT590111:HHU590111 HRP590111:HRQ590111 IBL590111:IBM590111 ILH590111:ILI590111 IVD590111:IVE590111 JEZ590111:JFA590111 JOV590111:JOW590111 JYR590111:JYS590111 KIN590111:KIO590111 KSJ590111:KSK590111 LCF590111:LCG590111 LMB590111:LMC590111 LVX590111:LVY590111 MFT590111:MFU590111 MPP590111:MPQ590111 MZL590111:MZM590111 NJH590111:NJI590111 NTD590111:NTE590111 OCZ590111:ODA590111 OMV590111:OMW590111 OWR590111:OWS590111 PGN590111:PGO590111 PQJ590111:PQK590111 QAF590111:QAG590111 QKB590111:QKC590111 QTX590111:QTY590111 RDT590111:RDU590111 RNP590111:RNQ590111 RXL590111:RXM590111 SHH590111:SHI590111 SRD590111:SRE590111 TAZ590111:TBA590111 TKV590111:TKW590111 TUR590111:TUS590111 UEN590111:UEO590111 UOJ590111:UOK590111 UYF590111:UYG590111 VIB590111:VIC590111 VRX590111:VRY590111 WBT590111:WBU590111 WLP590111:WLQ590111 WVL590111:WVM590111 D655647:E655647 IZ655647:JA655647 SV655647:SW655647 ACR655647:ACS655647 AMN655647:AMO655647 AWJ655647:AWK655647 BGF655647:BGG655647 BQB655647:BQC655647 BZX655647:BZY655647 CJT655647:CJU655647 CTP655647:CTQ655647 DDL655647:DDM655647 DNH655647:DNI655647 DXD655647:DXE655647 EGZ655647:EHA655647 EQV655647:EQW655647 FAR655647:FAS655647 FKN655647:FKO655647 FUJ655647:FUK655647 GEF655647:GEG655647 GOB655647:GOC655647 GXX655647:GXY655647 HHT655647:HHU655647 HRP655647:HRQ655647 IBL655647:IBM655647 ILH655647:ILI655647 IVD655647:IVE655647 JEZ655647:JFA655647 JOV655647:JOW655647 JYR655647:JYS655647 KIN655647:KIO655647 KSJ655647:KSK655647 LCF655647:LCG655647 LMB655647:LMC655647 LVX655647:LVY655647 MFT655647:MFU655647 MPP655647:MPQ655647 MZL655647:MZM655647 NJH655647:NJI655647 NTD655647:NTE655647 OCZ655647:ODA655647 OMV655647:OMW655647 OWR655647:OWS655647 PGN655647:PGO655647 PQJ655647:PQK655647 QAF655647:QAG655647 QKB655647:QKC655647 QTX655647:QTY655647 RDT655647:RDU655647 RNP655647:RNQ655647 RXL655647:RXM655647 SHH655647:SHI655647 SRD655647:SRE655647 TAZ655647:TBA655647 TKV655647:TKW655647 TUR655647:TUS655647 UEN655647:UEO655647 UOJ655647:UOK655647 UYF655647:UYG655647 VIB655647:VIC655647 VRX655647:VRY655647 WBT655647:WBU655647 WLP655647:WLQ655647 WVL655647:WVM655647 D721183:E721183 IZ721183:JA721183 SV721183:SW721183 ACR721183:ACS721183 AMN721183:AMO721183 AWJ721183:AWK721183 BGF721183:BGG721183 BQB721183:BQC721183 BZX721183:BZY721183 CJT721183:CJU721183 CTP721183:CTQ721183 DDL721183:DDM721183 DNH721183:DNI721183 DXD721183:DXE721183 EGZ721183:EHA721183 EQV721183:EQW721183 FAR721183:FAS721183 FKN721183:FKO721183 FUJ721183:FUK721183 GEF721183:GEG721183 GOB721183:GOC721183 GXX721183:GXY721183 HHT721183:HHU721183 HRP721183:HRQ721183 IBL721183:IBM721183 ILH721183:ILI721183 IVD721183:IVE721183 JEZ721183:JFA721183 JOV721183:JOW721183 JYR721183:JYS721183 KIN721183:KIO721183 KSJ721183:KSK721183 LCF721183:LCG721183 LMB721183:LMC721183 LVX721183:LVY721183 MFT721183:MFU721183 MPP721183:MPQ721183 MZL721183:MZM721183 NJH721183:NJI721183 NTD721183:NTE721183 OCZ721183:ODA721183 OMV721183:OMW721183 OWR721183:OWS721183 PGN721183:PGO721183 PQJ721183:PQK721183 QAF721183:QAG721183 QKB721183:QKC721183 QTX721183:QTY721183 RDT721183:RDU721183 RNP721183:RNQ721183 RXL721183:RXM721183 SHH721183:SHI721183 SRD721183:SRE721183 TAZ721183:TBA721183 TKV721183:TKW721183 TUR721183:TUS721183 UEN721183:UEO721183 UOJ721183:UOK721183 UYF721183:UYG721183 VIB721183:VIC721183 VRX721183:VRY721183 WBT721183:WBU721183 WLP721183:WLQ721183 WVL721183:WVM721183 D786719:E786719 IZ786719:JA786719 SV786719:SW786719 ACR786719:ACS786719 AMN786719:AMO786719 AWJ786719:AWK786719 BGF786719:BGG786719 BQB786719:BQC786719 BZX786719:BZY786719 CJT786719:CJU786719 CTP786719:CTQ786719 DDL786719:DDM786719 DNH786719:DNI786719 DXD786719:DXE786719 EGZ786719:EHA786719 EQV786719:EQW786719 FAR786719:FAS786719 FKN786719:FKO786719 FUJ786719:FUK786719 GEF786719:GEG786719 GOB786719:GOC786719 GXX786719:GXY786719 HHT786719:HHU786719 HRP786719:HRQ786719 IBL786719:IBM786719 ILH786719:ILI786719 IVD786719:IVE786719 JEZ786719:JFA786719 JOV786719:JOW786719 JYR786719:JYS786719 KIN786719:KIO786719 KSJ786719:KSK786719 LCF786719:LCG786719 LMB786719:LMC786719 LVX786719:LVY786719 MFT786719:MFU786719 MPP786719:MPQ786719 MZL786719:MZM786719 NJH786719:NJI786719 NTD786719:NTE786719 OCZ786719:ODA786719 OMV786719:OMW786719 OWR786719:OWS786719 PGN786719:PGO786719 PQJ786719:PQK786719 QAF786719:QAG786719 QKB786719:QKC786719 QTX786719:QTY786719 RDT786719:RDU786719 RNP786719:RNQ786719 RXL786719:RXM786719 SHH786719:SHI786719 SRD786719:SRE786719 TAZ786719:TBA786719 TKV786719:TKW786719 TUR786719:TUS786719 UEN786719:UEO786719 UOJ786719:UOK786719 UYF786719:UYG786719 VIB786719:VIC786719 VRX786719:VRY786719 WBT786719:WBU786719 WLP786719:WLQ786719 WVL786719:WVM786719 D852255:E852255 IZ852255:JA852255 SV852255:SW852255 ACR852255:ACS852255 AMN852255:AMO852255 AWJ852255:AWK852255 BGF852255:BGG852255 BQB852255:BQC852255 BZX852255:BZY852255 CJT852255:CJU852255 CTP852255:CTQ852255 DDL852255:DDM852255 DNH852255:DNI852255 DXD852255:DXE852255 EGZ852255:EHA852255 EQV852255:EQW852255 FAR852255:FAS852255 FKN852255:FKO852255 FUJ852255:FUK852255 GEF852255:GEG852255 GOB852255:GOC852255 GXX852255:GXY852255 HHT852255:HHU852255 HRP852255:HRQ852255 IBL852255:IBM852255 ILH852255:ILI852255 IVD852255:IVE852255 JEZ852255:JFA852255 JOV852255:JOW852255 JYR852255:JYS852255 KIN852255:KIO852255 KSJ852255:KSK852255 LCF852255:LCG852255 LMB852255:LMC852255 LVX852255:LVY852255 MFT852255:MFU852255 MPP852255:MPQ852255 MZL852255:MZM852255 NJH852255:NJI852255 NTD852255:NTE852255 OCZ852255:ODA852255 OMV852255:OMW852255 OWR852255:OWS852255 PGN852255:PGO852255 PQJ852255:PQK852255 QAF852255:QAG852255 QKB852255:QKC852255 QTX852255:QTY852255 RDT852255:RDU852255 RNP852255:RNQ852255 RXL852255:RXM852255 SHH852255:SHI852255 SRD852255:SRE852255 TAZ852255:TBA852255 TKV852255:TKW852255 TUR852255:TUS852255 UEN852255:UEO852255 UOJ852255:UOK852255 UYF852255:UYG852255 VIB852255:VIC852255 VRX852255:VRY852255 WBT852255:WBU852255 WLP852255:WLQ852255 WVL852255:WVM852255 D917791:E917791 IZ917791:JA917791 SV917791:SW917791 ACR917791:ACS917791 AMN917791:AMO917791 AWJ917791:AWK917791 BGF917791:BGG917791 BQB917791:BQC917791 BZX917791:BZY917791 CJT917791:CJU917791 CTP917791:CTQ917791 DDL917791:DDM917791 DNH917791:DNI917791 DXD917791:DXE917791 EGZ917791:EHA917791 EQV917791:EQW917791 FAR917791:FAS917791 FKN917791:FKO917791 FUJ917791:FUK917791 GEF917791:GEG917791 GOB917791:GOC917791 GXX917791:GXY917791 HHT917791:HHU917791 HRP917791:HRQ917791 IBL917791:IBM917791 ILH917791:ILI917791 IVD917791:IVE917791 JEZ917791:JFA917791 JOV917791:JOW917791 JYR917791:JYS917791 KIN917791:KIO917791 KSJ917791:KSK917791 LCF917791:LCG917791 LMB917791:LMC917791 LVX917791:LVY917791 MFT917791:MFU917791 MPP917791:MPQ917791 MZL917791:MZM917791 NJH917791:NJI917791 NTD917791:NTE917791 OCZ917791:ODA917791 OMV917791:OMW917791 OWR917791:OWS917791 PGN917791:PGO917791 PQJ917791:PQK917791 QAF917791:QAG917791 QKB917791:QKC917791 QTX917791:QTY917791 RDT917791:RDU917791 RNP917791:RNQ917791 RXL917791:RXM917791 SHH917791:SHI917791 SRD917791:SRE917791 TAZ917791:TBA917791 TKV917791:TKW917791 TUR917791:TUS917791 UEN917791:UEO917791 UOJ917791:UOK917791 UYF917791:UYG917791 VIB917791:VIC917791 VRX917791:VRY917791 WBT917791:WBU917791 WLP917791:WLQ917791 WVL917791:WVM917791 D983327:E983327 IZ983327:JA983327 SV983327:SW983327 ACR983327:ACS983327 AMN983327:AMO983327 AWJ983327:AWK983327 BGF983327:BGG983327 BQB983327:BQC983327 BZX983327:BZY983327 CJT983327:CJU983327 CTP983327:CTQ983327 DDL983327:DDM983327 DNH983327:DNI983327 DXD983327:DXE983327 EGZ983327:EHA983327 EQV983327:EQW983327 FAR983327:FAS983327 FKN983327:FKO983327 FUJ983327:FUK983327 GEF983327:GEG983327 GOB983327:GOC983327 GXX983327:GXY983327 HHT983327:HHU983327 HRP983327:HRQ983327 IBL983327:IBM983327 ILH983327:ILI983327 IVD983327:IVE983327 JEZ983327:JFA983327 JOV983327:JOW983327 JYR983327:JYS983327 KIN983327:KIO983327 KSJ983327:KSK983327 LCF983327:LCG983327 LMB983327:LMC983327 LVX983327:LVY983327 MFT983327:MFU983327 MPP983327:MPQ983327 MZL983327:MZM983327 NJH983327:NJI983327 NTD983327:NTE983327 OCZ983327:ODA983327 OMV983327:OMW983327 OWR983327:OWS983327 PGN983327:PGO983327 PQJ983327:PQK983327 QAF983327:QAG983327 QKB983327:QKC983327 QTX983327:QTY983327 RDT983327:RDU983327 RNP983327:RNQ983327 RXL983327:RXM983327 SHH983327:SHI983327 SRD983327:SRE983327 TAZ983327:TBA983327 TKV983327:TKW983327 TUR983327:TUS983327 UEN983327:UEO983327 UOJ983327:UOK983327 UYF983327:UYG983327 VIB983327:VIC983327 VRX983327:VRY983327 WBT983327:WBU983327 WLP983327:WLQ983327 WVL983327:WVM983327" xr:uid="{00000000-0002-0000-0100-000006000000}">
      <formula1>$E$417:$E$422</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49" r:id="rId4" name="Process">
          <controlPr defaultSize="0" autoFill="0" autoLine="0" r:id="rId5">
            <anchor moveWithCells="1">
              <from>
                <xdr:col>3</xdr:col>
                <xdr:colOff>57150</xdr:colOff>
                <xdr:row>16</xdr:row>
                <xdr:rowOff>47625</xdr:rowOff>
              </from>
              <to>
                <xdr:col>3</xdr:col>
                <xdr:colOff>781050</xdr:colOff>
                <xdr:row>16</xdr:row>
                <xdr:rowOff>257175</xdr:rowOff>
              </to>
            </anchor>
          </controlPr>
        </control>
      </mc:Choice>
      <mc:Fallback>
        <control shapeId="2049" r:id="rId4" name="Process"/>
      </mc:Fallback>
    </mc:AlternateContent>
    <mc:AlternateContent xmlns:mc="http://schemas.openxmlformats.org/markup-compatibility/2006">
      <mc:Choice Requires="x14">
        <control shapeId="2050" r:id="rId6" name="CheckBox1">
          <controlPr defaultSize="0" autoFill="0" autoLine="0" r:id="rId7">
            <anchor moveWithCells="1">
              <from>
                <xdr:col>3</xdr:col>
                <xdr:colOff>942975</xdr:colOff>
                <xdr:row>16</xdr:row>
                <xdr:rowOff>47625</xdr:rowOff>
              </from>
              <to>
                <xdr:col>3</xdr:col>
                <xdr:colOff>1819275</xdr:colOff>
                <xdr:row>16</xdr:row>
                <xdr:rowOff>257175</xdr:rowOff>
              </to>
            </anchor>
          </controlPr>
        </control>
      </mc:Choice>
      <mc:Fallback>
        <control shapeId="2050" r:id="rId6" name="CheckBox1"/>
      </mc:Fallback>
    </mc:AlternateContent>
    <mc:AlternateContent xmlns:mc="http://schemas.openxmlformats.org/markup-compatibility/2006">
      <mc:Choice Requires="x14">
        <control shapeId="2051" r:id="rId8" name="CheckBox2">
          <controlPr defaultSize="0" autoFill="0" autoLine="0" r:id="rId9">
            <anchor moveWithCells="1">
              <from>
                <xdr:col>3</xdr:col>
                <xdr:colOff>1981200</xdr:colOff>
                <xdr:row>16</xdr:row>
                <xdr:rowOff>47625</xdr:rowOff>
              </from>
              <to>
                <xdr:col>3</xdr:col>
                <xdr:colOff>2933700</xdr:colOff>
                <xdr:row>16</xdr:row>
                <xdr:rowOff>257175</xdr:rowOff>
              </to>
            </anchor>
          </controlPr>
        </control>
      </mc:Choice>
      <mc:Fallback>
        <control shapeId="2051" r:id="rId8" name="CheckBox2"/>
      </mc:Fallback>
    </mc:AlternateContent>
    <mc:AlternateContent xmlns:mc="http://schemas.openxmlformats.org/markup-compatibility/2006">
      <mc:Choice Requires="x14">
        <control shapeId="2052" r:id="rId10" name="CheckBox3">
          <controlPr defaultSize="0" autoFill="0" autoLine="0" autoPict="0" r:id="rId11">
            <anchor moveWithCells="1">
              <from>
                <xdr:col>3</xdr:col>
                <xdr:colOff>3095625</xdr:colOff>
                <xdr:row>16</xdr:row>
                <xdr:rowOff>47625</xdr:rowOff>
              </from>
              <to>
                <xdr:col>3</xdr:col>
                <xdr:colOff>3933825</xdr:colOff>
                <xdr:row>16</xdr:row>
                <xdr:rowOff>161925</xdr:rowOff>
              </to>
            </anchor>
          </controlPr>
        </control>
      </mc:Choice>
      <mc:Fallback>
        <control shapeId="2052"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BI83"/>
  <sheetViews>
    <sheetView workbookViewId="0">
      <pane xSplit="2" ySplit="1" topLeftCell="Y2" activePane="bottomRight" state="frozen"/>
      <selection pane="topRight" activeCell="C1" sqref="C1"/>
      <selection pane="bottomLeft" activeCell="A2" sqref="A2"/>
      <selection pane="bottomRight" activeCell="AC16" sqref="AC16"/>
    </sheetView>
  </sheetViews>
  <sheetFormatPr defaultColWidth="9.140625" defaultRowHeight="15" x14ac:dyDescent="0.25"/>
  <cols>
    <col min="1" max="1" width="2.5703125" customWidth="1"/>
    <col min="2" max="2" width="27.85546875" customWidth="1"/>
    <col min="3" max="3" width="32.140625" customWidth="1"/>
    <col min="4" max="4" width="18.7109375" bestFit="1" customWidth="1"/>
    <col min="5" max="5" width="19.28515625" bestFit="1" customWidth="1"/>
    <col min="6" max="21" width="16.5703125" customWidth="1"/>
    <col min="22" max="22" width="17.140625" customWidth="1"/>
    <col min="23" max="29" width="14.28515625" customWidth="1"/>
    <col min="30" max="30" width="55.7109375" customWidth="1"/>
    <col min="35" max="35" width="9.140625" customWidth="1"/>
    <col min="37" max="37" width="0" hidden="1" customWidth="1"/>
    <col min="278" max="278" width="2.5703125" customWidth="1"/>
    <col min="279" max="279" width="24.42578125" customWidth="1"/>
    <col min="280" max="280" width="32.140625" customWidth="1"/>
    <col min="281" max="283" width="16.5703125" customWidth="1"/>
    <col min="284" max="284" width="83.85546875" customWidth="1"/>
    <col min="534" max="534" width="2.5703125" customWidth="1"/>
    <col min="535" max="535" width="24.42578125" customWidth="1"/>
    <col min="536" max="536" width="32.140625" customWidth="1"/>
    <col min="537" max="539" width="16.5703125" customWidth="1"/>
    <col min="540" max="540" width="83.85546875" customWidth="1"/>
    <col min="790" max="790" width="2.5703125" customWidth="1"/>
    <col min="791" max="791" width="24.42578125" customWidth="1"/>
    <col min="792" max="792" width="32.140625" customWidth="1"/>
    <col min="793" max="795" width="16.5703125" customWidth="1"/>
    <col min="796" max="796" width="83.85546875" customWidth="1"/>
    <col min="1046" max="1046" width="2.5703125" customWidth="1"/>
    <col min="1047" max="1047" width="24.42578125" customWidth="1"/>
    <col min="1048" max="1048" width="32.140625" customWidth="1"/>
    <col min="1049" max="1051" width="16.5703125" customWidth="1"/>
    <col min="1052" max="1052" width="83.85546875" customWidth="1"/>
    <col min="1302" max="1302" width="2.5703125" customWidth="1"/>
    <col min="1303" max="1303" width="24.42578125" customWidth="1"/>
    <col min="1304" max="1304" width="32.140625" customWidth="1"/>
    <col min="1305" max="1307" width="16.5703125" customWidth="1"/>
    <col min="1308" max="1308" width="83.85546875" customWidth="1"/>
    <col min="1558" max="1558" width="2.5703125" customWidth="1"/>
    <col min="1559" max="1559" width="24.42578125" customWidth="1"/>
    <col min="1560" max="1560" width="32.140625" customWidth="1"/>
    <col min="1561" max="1563" width="16.5703125" customWidth="1"/>
    <col min="1564" max="1564" width="83.85546875" customWidth="1"/>
    <col min="1814" max="1814" width="2.5703125" customWidth="1"/>
    <col min="1815" max="1815" width="24.42578125" customWidth="1"/>
    <col min="1816" max="1816" width="32.140625" customWidth="1"/>
    <col min="1817" max="1819" width="16.5703125" customWidth="1"/>
    <col min="1820" max="1820" width="83.85546875" customWidth="1"/>
    <col min="2070" max="2070" width="2.5703125" customWidth="1"/>
    <col min="2071" max="2071" width="24.42578125" customWidth="1"/>
    <col min="2072" max="2072" width="32.140625" customWidth="1"/>
    <col min="2073" max="2075" width="16.5703125" customWidth="1"/>
    <col min="2076" max="2076" width="83.85546875" customWidth="1"/>
    <col min="2326" max="2326" width="2.5703125" customWidth="1"/>
    <col min="2327" max="2327" width="24.42578125" customWidth="1"/>
    <col min="2328" max="2328" width="32.140625" customWidth="1"/>
    <col min="2329" max="2331" width="16.5703125" customWidth="1"/>
    <col min="2332" max="2332" width="83.85546875" customWidth="1"/>
    <col min="2582" max="2582" width="2.5703125" customWidth="1"/>
    <col min="2583" max="2583" width="24.42578125" customWidth="1"/>
    <col min="2584" max="2584" width="32.140625" customWidth="1"/>
    <col min="2585" max="2587" width="16.5703125" customWidth="1"/>
    <col min="2588" max="2588" width="83.85546875" customWidth="1"/>
    <col min="2838" max="2838" width="2.5703125" customWidth="1"/>
    <col min="2839" max="2839" width="24.42578125" customWidth="1"/>
    <col min="2840" max="2840" width="32.140625" customWidth="1"/>
    <col min="2841" max="2843" width="16.5703125" customWidth="1"/>
    <col min="2844" max="2844" width="83.85546875" customWidth="1"/>
    <col min="3094" max="3094" width="2.5703125" customWidth="1"/>
    <col min="3095" max="3095" width="24.42578125" customWidth="1"/>
    <col min="3096" max="3096" width="32.140625" customWidth="1"/>
    <col min="3097" max="3099" width="16.5703125" customWidth="1"/>
    <col min="3100" max="3100" width="83.85546875" customWidth="1"/>
    <col min="3350" max="3350" width="2.5703125" customWidth="1"/>
    <col min="3351" max="3351" width="24.42578125" customWidth="1"/>
    <col min="3352" max="3352" width="32.140625" customWidth="1"/>
    <col min="3353" max="3355" width="16.5703125" customWidth="1"/>
    <col min="3356" max="3356" width="83.85546875" customWidth="1"/>
    <col min="3606" max="3606" width="2.5703125" customWidth="1"/>
    <col min="3607" max="3607" width="24.42578125" customWidth="1"/>
    <col min="3608" max="3608" width="32.140625" customWidth="1"/>
    <col min="3609" max="3611" width="16.5703125" customWidth="1"/>
    <col min="3612" max="3612" width="83.85546875" customWidth="1"/>
    <col min="3862" max="3862" width="2.5703125" customWidth="1"/>
    <col min="3863" max="3863" width="24.42578125" customWidth="1"/>
    <col min="3864" max="3864" width="32.140625" customWidth="1"/>
    <col min="3865" max="3867" width="16.5703125" customWidth="1"/>
    <col min="3868" max="3868" width="83.85546875" customWidth="1"/>
    <col min="4118" max="4118" width="2.5703125" customWidth="1"/>
    <col min="4119" max="4119" width="24.42578125" customWidth="1"/>
    <col min="4120" max="4120" width="32.140625" customWidth="1"/>
    <col min="4121" max="4123" width="16.5703125" customWidth="1"/>
    <col min="4124" max="4124" width="83.85546875" customWidth="1"/>
    <col min="4374" max="4374" width="2.5703125" customWidth="1"/>
    <col min="4375" max="4375" width="24.42578125" customWidth="1"/>
    <col min="4376" max="4376" width="32.140625" customWidth="1"/>
    <col min="4377" max="4379" width="16.5703125" customWidth="1"/>
    <col min="4380" max="4380" width="83.85546875" customWidth="1"/>
    <col min="4630" max="4630" width="2.5703125" customWidth="1"/>
    <col min="4631" max="4631" width="24.42578125" customWidth="1"/>
    <col min="4632" max="4632" width="32.140625" customWidth="1"/>
    <col min="4633" max="4635" width="16.5703125" customWidth="1"/>
    <col min="4636" max="4636" width="83.85546875" customWidth="1"/>
    <col min="4886" max="4886" width="2.5703125" customWidth="1"/>
    <col min="4887" max="4887" width="24.42578125" customWidth="1"/>
    <col min="4888" max="4888" width="32.140625" customWidth="1"/>
    <col min="4889" max="4891" width="16.5703125" customWidth="1"/>
    <col min="4892" max="4892" width="83.85546875" customWidth="1"/>
    <col min="5142" max="5142" width="2.5703125" customWidth="1"/>
    <col min="5143" max="5143" width="24.42578125" customWidth="1"/>
    <col min="5144" max="5144" width="32.140625" customWidth="1"/>
    <col min="5145" max="5147" width="16.5703125" customWidth="1"/>
    <col min="5148" max="5148" width="83.85546875" customWidth="1"/>
    <col min="5398" max="5398" width="2.5703125" customWidth="1"/>
    <col min="5399" max="5399" width="24.42578125" customWidth="1"/>
    <col min="5400" max="5400" width="32.140625" customWidth="1"/>
    <col min="5401" max="5403" width="16.5703125" customWidth="1"/>
    <col min="5404" max="5404" width="83.85546875" customWidth="1"/>
    <col min="5654" max="5654" width="2.5703125" customWidth="1"/>
    <col min="5655" max="5655" width="24.42578125" customWidth="1"/>
    <col min="5656" max="5656" width="32.140625" customWidth="1"/>
    <col min="5657" max="5659" width="16.5703125" customWidth="1"/>
    <col min="5660" max="5660" width="83.85546875" customWidth="1"/>
    <col min="5910" max="5910" width="2.5703125" customWidth="1"/>
    <col min="5911" max="5911" width="24.42578125" customWidth="1"/>
    <col min="5912" max="5912" width="32.140625" customWidth="1"/>
    <col min="5913" max="5915" width="16.5703125" customWidth="1"/>
    <col min="5916" max="5916" width="83.85546875" customWidth="1"/>
    <col min="6166" max="6166" width="2.5703125" customWidth="1"/>
    <col min="6167" max="6167" width="24.42578125" customWidth="1"/>
    <col min="6168" max="6168" width="32.140625" customWidth="1"/>
    <col min="6169" max="6171" width="16.5703125" customWidth="1"/>
    <col min="6172" max="6172" width="83.85546875" customWidth="1"/>
    <col min="6422" max="6422" width="2.5703125" customWidth="1"/>
    <col min="6423" max="6423" width="24.42578125" customWidth="1"/>
    <col min="6424" max="6424" width="32.140625" customWidth="1"/>
    <col min="6425" max="6427" width="16.5703125" customWidth="1"/>
    <col min="6428" max="6428" width="83.85546875" customWidth="1"/>
    <col min="6678" max="6678" width="2.5703125" customWidth="1"/>
    <col min="6679" max="6679" width="24.42578125" customWidth="1"/>
    <col min="6680" max="6680" width="32.140625" customWidth="1"/>
    <col min="6681" max="6683" width="16.5703125" customWidth="1"/>
    <col min="6684" max="6684" width="83.85546875" customWidth="1"/>
    <col min="6934" max="6934" width="2.5703125" customWidth="1"/>
    <col min="6935" max="6935" width="24.42578125" customWidth="1"/>
    <col min="6936" max="6936" width="32.140625" customWidth="1"/>
    <col min="6937" max="6939" width="16.5703125" customWidth="1"/>
    <col min="6940" max="6940" width="83.85546875" customWidth="1"/>
    <col min="7190" max="7190" width="2.5703125" customWidth="1"/>
    <col min="7191" max="7191" width="24.42578125" customWidth="1"/>
    <col min="7192" max="7192" width="32.140625" customWidth="1"/>
    <col min="7193" max="7195" width="16.5703125" customWidth="1"/>
    <col min="7196" max="7196" width="83.85546875" customWidth="1"/>
    <col min="7446" max="7446" width="2.5703125" customWidth="1"/>
    <col min="7447" max="7447" width="24.42578125" customWidth="1"/>
    <col min="7448" max="7448" width="32.140625" customWidth="1"/>
    <col min="7449" max="7451" width="16.5703125" customWidth="1"/>
    <col min="7452" max="7452" width="83.85546875" customWidth="1"/>
    <col min="7702" max="7702" width="2.5703125" customWidth="1"/>
    <col min="7703" max="7703" width="24.42578125" customWidth="1"/>
    <col min="7704" max="7704" width="32.140625" customWidth="1"/>
    <col min="7705" max="7707" width="16.5703125" customWidth="1"/>
    <col min="7708" max="7708" width="83.85546875" customWidth="1"/>
    <col min="7958" max="7958" width="2.5703125" customWidth="1"/>
    <col min="7959" max="7959" width="24.42578125" customWidth="1"/>
    <col min="7960" max="7960" width="32.140625" customWidth="1"/>
    <col min="7961" max="7963" width="16.5703125" customWidth="1"/>
    <col min="7964" max="7964" width="83.85546875" customWidth="1"/>
    <col min="8214" max="8214" width="2.5703125" customWidth="1"/>
    <col min="8215" max="8215" width="24.42578125" customWidth="1"/>
    <col min="8216" max="8216" width="32.140625" customWidth="1"/>
    <col min="8217" max="8219" width="16.5703125" customWidth="1"/>
    <col min="8220" max="8220" width="83.85546875" customWidth="1"/>
    <col min="8470" max="8470" width="2.5703125" customWidth="1"/>
    <col min="8471" max="8471" width="24.42578125" customWidth="1"/>
    <col min="8472" max="8472" width="32.140625" customWidth="1"/>
    <col min="8473" max="8475" width="16.5703125" customWidth="1"/>
    <col min="8476" max="8476" width="83.85546875" customWidth="1"/>
    <col min="8726" max="8726" width="2.5703125" customWidth="1"/>
    <col min="8727" max="8727" width="24.42578125" customWidth="1"/>
    <col min="8728" max="8728" width="32.140625" customWidth="1"/>
    <col min="8729" max="8731" width="16.5703125" customWidth="1"/>
    <col min="8732" max="8732" width="83.85546875" customWidth="1"/>
    <col min="8982" max="8982" width="2.5703125" customWidth="1"/>
    <col min="8983" max="8983" width="24.42578125" customWidth="1"/>
    <col min="8984" max="8984" width="32.140625" customWidth="1"/>
    <col min="8985" max="8987" width="16.5703125" customWidth="1"/>
    <col min="8988" max="8988" width="83.85546875" customWidth="1"/>
    <col min="9238" max="9238" width="2.5703125" customWidth="1"/>
    <col min="9239" max="9239" width="24.42578125" customWidth="1"/>
    <col min="9240" max="9240" width="32.140625" customWidth="1"/>
    <col min="9241" max="9243" width="16.5703125" customWidth="1"/>
    <col min="9244" max="9244" width="83.85546875" customWidth="1"/>
    <col min="9494" max="9494" width="2.5703125" customWidth="1"/>
    <col min="9495" max="9495" width="24.42578125" customWidth="1"/>
    <col min="9496" max="9496" width="32.140625" customWidth="1"/>
    <col min="9497" max="9499" width="16.5703125" customWidth="1"/>
    <col min="9500" max="9500" width="83.85546875" customWidth="1"/>
    <col min="9750" max="9750" width="2.5703125" customWidth="1"/>
    <col min="9751" max="9751" width="24.42578125" customWidth="1"/>
    <col min="9752" max="9752" width="32.140625" customWidth="1"/>
    <col min="9753" max="9755" width="16.5703125" customWidth="1"/>
    <col min="9756" max="9756" width="83.85546875" customWidth="1"/>
    <col min="10006" max="10006" width="2.5703125" customWidth="1"/>
    <col min="10007" max="10007" width="24.42578125" customWidth="1"/>
    <col min="10008" max="10008" width="32.140625" customWidth="1"/>
    <col min="10009" max="10011" width="16.5703125" customWidth="1"/>
    <col min="10012" max="10012" width="83.85546875" customWidth="1"/>
    <col min="10262" max="10262" width="2.5703125" customWidth="1"/>
    <col min="10263" max="10263" width="24.42578125" customWidth="1"/>
    <col min="10264" max="10264" width="32.140625" customWidth="1"/>
    <col min="10265" max="10267" width="16.5703125" customWidth="1"/>
    <col min="10268" max="10268" width="83.85546875" customWidth="1"/>
    <col min="10518" max="10518" width="2.5703125" customWidth="1"/>
    <col min="10519" max="10519" width="24.42578125" customWidth="1"/>
    <col min="10520" max="10520" width="32.140625" customWidth="1"/>
    <col min="10521" max="10523" width="16.5703125" customWidth="1"/>
    <col min="10524" max="10524" width="83.85546875" customWidth="1"/>
    <col min="10774" max="10774" width="2.5703125" customWidth="1"/>
    <col min="10775" max="10775" width="24.42578125" customWidth="1"/>
    <col min="10776" max="10776" width="32.140625" customWidth="1"/>
    <col min="10777" max="10779" width="16.5703125" customWidth="1"/>
    <col min="10780" max="10780" width="83.85546875" customWidth="1"/>
    <col min="11030" max="11030" width="2.5703125" customWidth="1"/>
    <col min="11031" max="11031" width="24.42578125" customWidth="1"/>
    <col min="11032" max="11032" width="32.140625" customWidth="1"/>
    <col min="11033" max="11035" width="16.5703125" customWidth="1"/>
    <col min="11036" max="11036" width="83.85546875" customWidth="1"/>
    <col min="11286" max="11286" width="2.5703125" customWidth="1"/>
    <col min="11287" max="11287" width="24.42578125" customWidth="1"/>
    <col min="11288" max="11288" width="32.140625" customWidth="1"/>
    <col min="11289" max="11291" width="16.5703125" customWidth="1"/>
    <col min="11292" max="11292" width="83.85546875" customWidth="1"/>
    <col min="11542" max="11542" width="2.5703125" customWidth="1"/>
    <col min="11543" max="11543" width="24.42578125" customWidth="1"/>
    <col min="11544" max="11544" width="32.140625" customWidth="1"/>
    <col min="11545" max="11547" width="16.5703125" customWidth="1"/>
    <col min="11548" max="11548" width="83.85546875" customWidth="1"/>
    <col min="11798" max="11798" width="2.5703125" customWidth="1"/>
    <col min="11799" max="11799" width="24.42578125" customWidth="1"/>
    <col min="11800" max="11800" width="32.140625" customWidth="1"/>
    <col min="11801" max="11803" width="16.5703125" customWidth="1"/>
    <col min="11804" max="11804" width="83.85546875" customWidth="1"/>
    <col min="12054" max="12054" width="2.5703125" customWidth="1"/>
    <col min="12055" max="12055" width="24.42578125" customWidth="1"/>
    <col min="12056" max="12056" width="32.140625" customWidth="1"/>
    <col min="12057" max="12059" width="16.5703125" customWidth="1"/>
    <col min="12060" max="12060" width="83.85546875" customWidth="1"/>
    <col min="12310" max="12310" width="2.5703125" customWidth="1"/>
    <col min="12311" max="12311" width="24.42578125" customWidth="1"/>
    <col min="12312" max="12312" width="32.140625" customWidth="1"/>
    <col min="12313" max="12315" width="16.5703125" customWidth="1"/>
    <col min="12316" max="12316" width="83.85546875" customWidth="1"/>
    <col min="12566" max="12566" width="2.5703125" customWidth="1"/>
    <col min="12567" max="12567" width="24.42578125" customWidth="1"/>
    <col min="12568" max="12568" width="32.140625" customWidth="1"/>
    <col min="12569" max="12571" width="16.5703125" customWidth="1"/>
    <col min="12572" max="12572" width="83.85546875" customWidth="1"/>
    <col min="12822" max="12822" width="2.5703125" customWidth="1"/>
    <col min="12823" max="12823" width="24.42578125" customWidth="1"/>
    <col min="12824" max="12824" width="32.140625" customWidth="1"/>
    <col min="12825" max="12827" width="16.5703125" customWidth="1"/>
    <col min="12828" max="12828" width="83.85546875" customWidth="1"/>
    <col min="13078" max="13078" width="2.5703125" customWidth="1"/>
    <col min="13079" max="13079" width="24.42578125" customWidth="1"/>
    <col min="13080" max="13080" width="32.140625" customWidth="1"/>
    <col min="13081" max="13083" width="16.5703125" customWidth="1"/>
    <col min="13084" max="13084" width="83.85546875" customWidth="1"/>
    <col min="13334" max="13334" width="2.5703125" customWidth="1"/>
    <col min="13335" max="13335" width="24.42578125" customWidth="1"/>
    <col min="13336" max="13336" width="32.140625" customWidth="1"/>
    <col min="13337" max="13339" width="16.5703125" customWidth="1"/>
    <col min="13340" max="13340" width="83.85546875" customWidth="1"/>
    <col min="13590" max="13590" width="2.5703125" customWidth="1"/>
    <col min="13591" max="13591" width="24.42578125" customWidth="1"/>
    <col min="13592" max="13592" width="32.140625" customWidth="1"/>
    <col min="13593" max="13595" width="16.5703125" customWidth="1"/>
    <col min="13596" max="13596" width="83.85546875" customWidth="1"/>
    <col min="13846" max="13846" width="2.5703125" customWidth="1"/>
    <col min="13847" max="13847" width="24.42578125" customWidth="1"/>
    <col min="13848" max="13848" width="32.140625" customWidth="1"/>
    <col min="13849" max="13851" width="16.5703125" customWidth="1"/>
    <col min="13852" max="13852" width="83.85546875" customWidth="1"/>
    <col min="14102" max="14102" width="2.5703125" customWidth="1"/>
    <col min="14103" max="14103" width="24.42578125" customWidth="1"/>
    <col min="14104" max="14104" width="32.140625" customWidth="1"/>
    <col min="14105" max="14107" width="16.5703125" customWidth="1"/>
    <col min="14108" max="14108" width="83.85546875" customWidth="1"/>
    <col min="14358" max="14358" width="2.5703125" customWidth="1"/>
    <col min="14359" max="14359" width="24.42578125" customWidth="1"/>
    <col min="14360" max="14360" width="32.140625" customWidth="1"/>
    <col min="14361" max="14363" width="16.5703125" customWidth="1"/>
    <col min="14364" max="14364" width="83.85546875" customWidth="1"/>
    <col min="14614" max="14614" width="2.5703125" customWidth="1"/>
    <col min="14615" max="14615" width="24.42578125" customWidth="1"/>
    <col min="14616" max="14616" width="32.140625" customWidth="1"/>
    <col min="14617" max="14619" width="16.5703125" customWidth="1"/>
    <col min="14620" max="14620" width="83.85546875" customWidth="1"/>
    <col min="14870" max="14870" width="2.5703125" customWidth="1"/>
    <col min="14871" max="14871" width="24.42578125" customWidth="1"/>
    <col min="14872" max="14872" width="32.140625" customWidth="1"/>
    <col min="14873" max="14875" width="16.5703125" customWidth="1"/>
    <col min="14876" max="14876" width="83.85546875" customWidth="1"/>
    <col min="15126" max="15126" width="2.5703125" customWidth="1"/>
    <col min="15127" max="15127" width="24.42578125" customWidth="1"/>
    <col min="15128" max="15128" width="32.140625" customWidth="1"/>
    <col min="15129" max="15131" width="16.5703125" customWidth="1"/>
    <col min="15132" max="15132" width="83.85546875" customWidth="1"/>
    <col min="15382" max="15382" width="2.5703125" customWidth="1"/>
    <col min="15383" max="15383" width="24.42578125" customWidth="1"/>
    <col min="15384" max="15384" width="32.140625" customWidth="1"/>
    <col min="15385" max="15387" width="16.5703125" customWidth="1"/>
    <col min="15388" max="15388" width="83.85546875" customWidth="1"/>
    <col min="15638" max="15638" width="2.5703125" customWidth="1"/>
    <col min="15639" max="15639" width="24.42578125" customWidth="1"/>
    <col min="15640" max="15640" width="32.140625" customWidth="1"/>
    <col min="15641" max="15643" width="16.5703125" customWidth="1"/>
    <col min="15644" max="15644" width="83.85546875" customWidth="1"/>
    <col min="15894" max="15894" width="2.5703125" customWidth="1"/>
    <col min="15895" max="15895" width="24.42578125" customWidth="1"/>
    <col min="15896" max="15896" width="32.140625" customWidth="1"/>
    <col min="15897" max="15899" width="16.5703125" customWidth="1"/>
    <col min="15900" max="15900" width="83.85546875" customWidth="1"/>
    <col min="16150" max="16150" width="2.5703125" customWidth="1"/>
    <col min="16151" max="16151" width="24.42578125" customWidth="1"/>
    <col min="16152" max="16152" width="32.140625" customWidth="1"/>
    <col min="16153" max="16155" width="16.5703125" customWidth="1"/>
    <col min="16156" max="16156" width="83.85546875" customWidth="1"/>
  </cols>
  <sheetData>
    <row r="1" spans="1:61" s="3" customFormat="1" ht="20.25" x14ac:dyDescent="0.3">
      <c r="A1" s="334" t="s">
        <v>13</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I1" s="11"/>
      <c r="AJ1" s="11"/>
      <c r="AK1" s="11"/>
      <c r="AL1" s="11"/>
      <c r="AM1" s="11"/>
      <c r="AN1" s="11"/>
      <c r="AO1" s="11"/>
      <c r="AP1" s="11"/>
      <c r="AQ1" s="11"/>
      <c r="AR1" s="11"/>
      <c r="AS1" s="11"/>
      <c r="AT1" s="11"/>
      <c r="AU1" s="11"/>
      <c r="AV1" s="11"/>
      <c r="AW1" s="11"/>
      <c r="AX1" s="11"/>
      <c r="AY1" s="11"/>
      <c r="AZ1" s="11"/>
      <c r="BA1" s="11"/>
      <c r="BB1" s="11"/>
      <c r="BC1" s="11"/>
      <c r="BD1" s="11"/>
      <c r="BE1" s="11"/>
      <c r="BF1" s="11"/>
      <c r="BG1" s="11"/>
    </row>
    <row r="2" spans="1:61" s="3" customFormat="1" ht="21" thickBot="1" x14ac:dyDescent="0.35">
      <c r="A2" s="76"/>
      <c r="B2" s="76"/>
      <c r="C2" s="76"/>
      <c r="D2" s="76"/>
      <c r="E2" s="76"/>
      <c r="F2" s="76"/>
      <c r="G2" s="76"/>
      <c r="H2" s="76"/>
      <c r="I2" s="76"/>
      <c r="J2" s="76"/>
      <c r="K2" s="76"/>
      <c r="L2" s="76"/>
      <c r="M2" s="76"/>
      <c r="N2" s="76"/>
      <c r="O2" s="76"/>
      <c r="P2" s="76"/>
      <c r="Q2" s="76"/>
      <c r="R2" s="76"/>
      <c r="S2" s="76"/>
      <c r="T2" s="76"/>
      <c r="U2" s="76"/>
      <c r="V2" s="76"/>
      <c r="W2" s="76"/>
      <c r="X2" s="264"/>
      <c r="Y2" s="264"/>
      <c r="Z2" s="264"/>
      <c r="AA2" s="265"/>
      <c r="AB2" s="265"/>
      <c r="AC2" s="265"/>
      <c r="AD2" s="76"/>
      <c r="AE2" s="76"/>
      <c r="AI2" s="11"/>
      <c r="AJ2" s="11"/>
      <c r="AK2" s="11"/>
      <c r="AL2" s="11"/>
      <c r="AM2" s="11"/>
      <c r="AN2" s="11"/>
      <c r="AO2" s="11"/>
      <c r="AP2" s="11"/>
      <c r="AQ2" s="11"/>
      <c r="AR2" s="11"/>
      <c r="AS2" s="11"/>
      <c r="AT2" s="11"/>
      <c r="AU2" s="11"/>
      <c r="AV2" s="11"/>
      <c r="AW2" s="11"/>
      <c r="AX2" s="11"/>
      <c r="AY2" s="11"/>
      <c r="AZ2" s="11"/>
      <c r="BA2" s="11"/>
      <c r="BB2" s="11"/>
      <c r="BC2" s="11"/>
      <c r="BD2" s="11"/>
      <c r="BE2" s="11"/>
      <c r="BF2" s="11"/>
      <c r="BG2" s="11"/>
    </row>
    <row r="3" spans="1:61" s="3" customFormat="1" ht="15" customHeight="1" x14ac:dyDescent="0.3">
      <c r="A3" s="76"/>
      <c r="B3" s="335" t="s">
        <v>57</v>
      </c>
      <c r="C3" s="237" t="s">
        <v>109</v>
      </c>
      <c r="D3" s="237"/>
      <c r="E3" s="237"/>
      <c r="F3" s="340" t="s">
        <v>110</v>
      </c>
      <c r="G3" s="340"/>
      <c r="H3" s="340"/>
      <c r="I3" s="340"/>
      <c r="J3" s="340"/>
      <c r="K3" s="340"/>
      <c r="L3" s="340"/>
      <c r="M3" s="340"/>
      <c r="N3" s="340"/>
      <c r="O3" s="340"/>
      <c r="P3" s="340"/>
      <c r="Q3" s="340"/>
      <c r="R3" s="340"/>
      <c r="S3" s="340"/>
      <c r="T3" s="340"/>
      <c r="U3" s="340"/>
      <c r="V3" s="340"/>
      <c r="W3" s="340"/>
      <c r="X3" s="266"/>
      <c r="Y3" s="266"/>
      <c r="Z3" s="266"/>
      <c r="AA3" s="266"/>
      <c r="AB3" s="266"/>
      <c r="AC3" s="266"/>
      <c r="AD3" s="337" t="s">
        <v>111</v>
      </c>
      <c r="AE3" s="76"/>
      <c r="AF3" s="76"/>
      <c r="AG3" s="76"/>
      <c r="AK3" s="11"/>
      <c r="AL3" s="11"/>
      <c r="AM3" s="11"/>
      <c r="AN3" s="11"/>
      <c r="AO3" s="11"/>
      <c r="AP3" s="11"/>
      <c r="AQ3" s="11"/>
      <c r="AR3" s="11"/>
      <c r="AS3" s="11"/>
      <c r="AT3" s="11"/>
      <c r="AU3" s="11"/>
      <c r="AV3" s="11"/>
      <c r="AW3" s="11"/>
      <c r="AX3" s="11"/>
      <c r="AY3" s="11"/>
      <c r="AZ3" s="11"/>
      <c r="BA3" s="11"/>
      <c r="BB3" s="11"/>
      <c r="BC3" s="11"/>
      <c r="BD3" s="11"/>
      <c r="BE3" s="11"/>
      <c r="BF3" s="11"/>
      <c r="BG3" s="11"/>
      <c r="BH3" s="11"/>
      <c r="BI3" s="11"/>
    </row>
    <row r="4" spans="1:61" ht="15" customHeight="1" x14ac:dyDescent="0.25">
      <c r="B4" s="336"/>
      <c r="C4" s="234">
        <v>16</v>
      </c>
      <c r="D4" s="234">
        <f>C4+1</f>
        <v>17</v>
      </c>
      <c r="E4" s="234">
        <f>C4+2</f>
        <v>18</v>
      </c>
      <c r="F4" s="77">
        <v>1</v>
      </c>
      <c r="G4" s="77">
        <v>2</v>
      </c>
      <c r="H4" s="77">
        <v>3</v>
      </c>
      <c r="I4" s="77">
        <v>4</v>
      </c>
      <c r="J4" s="77">
        <v>5</v>
      </c>
      <c r="K4" s="77">
        <v>6</v>
      </c>
      <c r="L4" s="77">
        <v>7</v>
      </c>
      <c r="M4" s="77">
        <v>8</v>
      </c>
      <c r="N4" s="77">
        <v>9</v>
      </c>
      <c r="O4" s="77">
        <v>10</v>
      </c>
      <c r="P4" s="77">
        <v>11</v>
      </c>
      <c r="Q4" s="77">
        <v>12</v>
      </c>
      <c r="R4" s="77">
        <v>13</v>
      </c>
      <c r="S4" s="77">
        <v>14</v>
      </c>
      <c r="T4" s="77">
        <v>15</v>
      </c>
      <c r="U4" s="77">
        <v>16</v>
      </c>
      <c r="V4" s="77">
        <v>17</v>
      </c>
      <c r="W4" s="77">
        <v>18</v>
      </c>
      <c r="X4" s="267">
        <v>19</v>
      </c>
      <c r="Y4" s="267">
        <v>20</v>
      </c>
      <c r="Z4" s="267">
        <v>21</v>
      </c>
      <c r="AA4" s="267">
        <v>22</v>
      </c>
      <c r="AB4" s="267">
        <v>23</v>
      </c>
      <c r="AC4" s="267">
        <v>24</v>
      </c>
      <c r="AD4" s="338"/>
    </row>
    <row r="5" spans="1:61" ht="15" customHeight="1" x14ac:dyDescent="0.25">
      <c r="B5" s="336"/>
      <c r="C5" s="342" t="str">
        <f>F5</f>
        <v>Tight Well Production Water Burden</v>
      </c>
      <c r="D5" s="342"/>
      <c r="E5" s="342"/>
      <c r="F5" s="341" t="str">
        <f>'Data Summary'!D4</f>
        <v>Tight Well Production Water Burden</v>
      </c>
      <c r="G5" s="341"/>
      <c r="H5" s="341"/>
      <c r="I5" s="341"/>
      <c r="J5" s="341"/>
      <c r="K5" s="341"/>
      <c r="L5" s="341"/>
      <c r="M5" s="341"/>
      <c r="N5" s="341"/>
      <c r="O5" s="341"/>
      <c r="P5" s="341"/>
      <c r="Q5" s="341"/>
      <c r="R5" s="341"/>
      <c r="S5" s="341"/>
      <c r="T5" s="341"/>
      <c r="U5" s="341"/>
      <c r="V5" s="341"/>
      <c r="W5" s="341"/>
      <c r="X5" s="268"/>
      <c r="Y5" s="268"/>
      <c r="Z5" s="268"/>
      <c r="AA5" s="268"/>
      <c r="AB5" s="268"/>
      <c r="AC5" s="268"/>
      <c r="AD5" s="338"/>
    </row>
    <row r="6" spans="1:61" ht="39" x14ac:dyDescent="0.25">
      <c r="B6" s="336"/>
      <c r="C6" s="235" t="str">
        <f>HLOOKUP(C$4,$F$4:$W$73,3,FALSE)</f>
        <v>Piceance- Expected</v>
      </c>
      <c r="D6" s="235" t="str">
        <f t="shared" ref="D6:E6" si="0">HLOOKUP(D$4,$F$4:$W$73,3,FALSE)</f>
        <v>Piceance- Minimum</v>
      </c>
      <c r="E6" s="235" t="str">
        <f t="shared" si="0"/>
        <v>Piceance- Maximum</v>
      </c>
      <c r="F6" s="78" t="s">
        <v>287</v>
      </c>
      <c r="G6" s="78" t="s">
        <v>288</v>
      </c>
      <c r="H6" s="78" t="s">
        <v>289</v>
      </c>
      <c r="I6" s="78" t="s">
        <v>290</v>
      </c>
      <c r="J6" s="78" t="s">
        <v>291</v>
      </c>
      <c r="K6" s="78" t="s">
        <v>292</v>
      </c>
      <c r="L6" s="78" t="s">
        <v>293</v>
      </c>
      <c r="M6" s="78" t="s">
        <v>294</v>
      </c>
      <c r="N6" s="78" t="s">
        <v>295</v>
      </c>
      <c r="O6" s="78" t="s">
        <v>296</v>
      </c>
      <c r="P6" s="78" t="s">
        <v>297</v>
      </c>
      <c r="Q6" s="78" t="s">
        <v>298</v>
      </c>
      <c r="R6" s="78" t="s">
        <v>299</v>
      </c>
      <c r="S6" s="78" t="s">
        <v>300</v>
      </c>
      <c r="T6" s="78" t="s">
        <v>301</v>
      </c>
      <c r="U6" s="78" t="s">
        <v>302</v>
      </c>
      <c r="V6" s="78" t="s">
        <v>303</v>
      </c>
      <c r="W6" s="78" t="s">
        <v>304</v>
      </c>
      <c r="X6" s="271" t="s">
        <v>882</v>
      </c>
      <c r="Y6" s="271" t="s">
        <v>883</v>
      </c>
      <c r="Z6" s="271" t="s">
        <v>884</v>
      </c>
      <c r="AA6" s="273" t="s">
        <v>885</v>
      </c>
      <c r="AB6" s="273" t="s">
        <v>886</v>
      </c>
      <c r="AC6" s="273" t="s">
        <v>887</v>
      </c>
      <c r="AD6" s="338"/>
    </row>
    <row r="7" spans="1:61" ht="15" customHeight="1" x14ac:dyDescent="0.25">
      <c r="B7" s="222" t="s">
        <v>227</v>
      </c>
      <c r="C7" s="226">
        <f>HLOOKUP(C$4,$F$4:$BE$84,$AI7,FALSE)</f>
        <v>1042638.2054951957</v>
      </c>
      <c r="D7" s="226">
        <f t="shared" ref="D7:E22" si="1">HLOOKUP(D$4,$F$4:$BE$84,$AI7,FALSE)</f>
        <v>1041778.8305047662</v>
      </c>
      <c r="E7" s="226">
        <f t="shared" si="1"/>
        <v>1043497.5804856252</v>
      </c>
      <c r="F7" s="276">
        <v>6665535.048674386</v>
      </c>
      <c r="G7" s="276">
        <v>6659533.1299125217</v>
      </c>
      <c r="H7" s="276">
        <v>6671536.9674362503</v>
      </c>
      <c r="I7" s="276">
        <v>11250568.574288351</v>
      </c>
      <c r="J7" s="276">
        <v>11221104.687474774</v>
      </c>
      <c r="K7" s="276">
        <v>11280032.461101929</v>
      </c>
      <c r="L7" s="276">
        <v>6294933.5291688964</v>
      </c>
      <c r="M7" s="276">
        <v>6287565.002854147</v>
      </c>
      <c r="N7" s="276">
        <v>6302302.0554836458</v>
      </c>
      <c r="O7" s="276">
        <v>3381089.5794356274</v>
      </c>
      <c r="P7" s="276">
        <v>3379324.2616264266</v>
      </c>
      <c r="Q7" s="276">
        <v>3382854.8972448283</v>
      </c>
      <c r="R7" s="276">
        <v>3621926.9908996224</v>
      </c>
      <c r="S7" s="276">
        <v>3621390.4561941316</v>
      </c>
      <c r="T7" s="276">
        <v>3622463.5256051132</v>
      </c>
      <c r="U7" s="276">
        <v>1042638.2054951957</v>
      </c>
      <c r="V7" s="276">
        <v>1041778.8305047662</v>
      </c>
      <c r="W7" s="276">
        <v>1043497.5804856252</v>
      </c>
      <c r="X7" s="276">
        <v>1671851.9113451147</v>
      </c>
      <c r="Y7" s="276">
        <v>1671245.968899213</v>
      </c>
      <c r="Z7" s="276">
        <v>1672457.8537910164</v>
      </c>
      <c r="AA7" s="276">
        <v>6222034260.6639528</v>
      </c>
      <c r="AB7" s="276">
        <v>6184309910.5043631</v>
      </c>
      <c r="AC7" s="276">
        <v>6259758610.8235426</v>
      </c>
      <c r="AD7" s="238" t="s">
        <v>305</v>
      </c>
      <c r="AI7">
        <v>4</v>
      </c>
      <c r="AK7">
        <v>1</v>
      </c>
    </row>
    <row r="8" spans="1:61" ht="15" customHeight="1" x14ac:dyDescent="0.25">
      <c r="B8" s="81" t="s">
        <v>228</v>
      </c>
      <c r="C8" s="227">
        <f>HLOOKUP($C$4,$D$4:$BE$84,5,FALSE)</f>
        <v>3584451.7591672498</v>
      </c>
      <c r="D8" s="226">
        <f t="shared" si="1"/>
        <v>3366063.3233112302</v>
      </c>
      <c r="E8" s="226">
        <f t="shared" si="1"/>
        <v>3802840.1950232601</v>
      </c>
      <c r="F8" s="254">
        <v>8189447.5395091698</v>
      </c>
      <c r="G8" s="254">
        <v>7978959.1148882303</v>
      </c>
      <c r="H8" s="254">
        <v>8399935.9641300999</v>
      </c>
      <c r="I8" s="254">
        <v>13787794.538308499</v>
      </c>
      <c r="J8" s="254">
        <v>12731731.9093844</v>
      </c>
      <c r="K8" s="254">
        <v>14843857.1672325</v>
      </c>
      <c r="L8" s="254">
        <v>6415777.8662337698</v>
      </c>
      <c r="M8" s="254">
        <v>5058378.5465184199</v>
      </c>
      <c r="N8" s="254">
        <v>7773177.1859491104</v>
      </c>
      <c r="O8" s="254">
        <v>8708113.3490140792</v>
      </c>
      <c r="P8" s="254">
        <v>8139041.1872171797</v>
      </c>
      <c r="Q8" s="254">
        <v>9277185.5108109899</v>
      </c>
      <c r="R8" s="254">
        <v>986255.20454545401</v>
      </c>
      <c r="S8" s="254">
        <v>900247.64908992697</v>
      </c>
      <c r="T8" s="254">
        <v>1072262.76000098</v>
      </c>
      <c r="U8" s="254">
        <v>3584451.7591672498</v>
      </c>
      <c r="V8" s="254">
        <v>3366063.3233112302</v>
      </c>
      <c r="W8" s="254">
        <v>3802840.1950232601</v>
      </c>
      <c r="X8" s="272">
        <v>2290562.9658119702</v>
      </c>
      <c r="Y8" s="272">
        <v>1725459.29995304</v>
      </c>
      <c r="Z8" s="274">
        <v>2855666.631670895</v>
      </c>
      <c r="AA8" s="275">
        <v>29917403.841940958</v>
      </c>
      <c r="AB8" s="275">
        <v>29285079.593368854</v>
      </c>
      <c r="AC8" s="275">
        <v>30549728.090513065</v>
      </c>
      <c r="AD8" s="238" t="s">
        <v>306</v>
      </c>
      <c r="AI8">
        <v>5</v>
      </c>
      <c r="AK8">
        <v>4</v>
      </c>
    </row>
    <row r="9" spans="1:61" ht="15" customHeight="1" x14ac:dyDescent="0.25">
      <c r="B9" s="81" t="s">
        <v>229</v>
      </c>
      <c r="C9" s="228">
        <f>HLOOKUP($C$4,$D$4:$BE$84,6,FALSE)</f>
        <v>0.1</v>
      </c>
      <c r="D9" s="226">
        <f t="shared" si="1"/>
        <v>0</v>
      </c>
      <c r="E9" s="226">
        <f t="shared" si="1"/>
        <v>0.6</v>
      </c>
      <c r="F9" s="80">
        <v>0.1</v>
      </c>
      <c r="G9" s="80">
        <v>0</v>
      </c>
      <c r="H9" s="80">
        <v>0.6</v>
      </c>
      <c r="I9" s="80">
        <v>0.05</v>
      </c>
      <c r="J9" s="80">
        <v>0.05</v>
      </c>
      <c r="K9" s="80">
        <v>0.05</v>
      </c>
      <c r="L9" s="80">
        <v>0.1</v>
      </c>
      <c r="M9" s="80">
        <v>0</v>
      </c>
      <c r="N9" s="80">
        <v>0.6</v>
      </c>
      <c r="O9" s="80">
        <v>0.1</v>
      </c>
      <c r="P9" s="80">
        <v>0</v>
      </c>
      <c r="Q9" s="80">
        <v>0.6</v>
      </c>
      <c r="R9" s="80">
        <v>0.1</v>
      </c>
      <c r="S9" s="80">
        <v>0</v>
      </c>
      <c r="T9" s="80">
        <v>0.6</v>
      </c>
      <c r="U9" s="80">
        <v>0.1</v>
      </c>
      <c r="V9" s="80">
        <v>0</v>
      </c>
      <c r="W9" s="80">
        <v>0.6</v>
      </c>
      <c r="X9" s="80">
        <v>0.1</v>
      </c>
      <c r="Y9" s="80">
        <v>0</v>
      </c>
      <c r="Z9" s="269">
        <v>0.6</v>
      </c>
      <c r="AA9" s="275">
        <v>0.1</v>
      </c>
      <c r="AB9" s="275">
        <v>0.01</v>
      </c>
      <c r="AC9" s="275">
        <v>0.6</v>
      </c>
      <c r="AD9" s="238" t="s">
        <v>307</v>
      </c>
      <c r="AI9">
        <v>6</v>
      </c>
      <c r="AK9">
        <v>7</v>
      </c>
    </row>
    <row r="10" spans="1:61" ht="15" customHeight="1" x14ac:dyDescent="0.25">
      <c r="B10" s="223" t="s">
        <v>230</v>
      </c>
      <c r="C10" s="228">
        <f>HLOOKUP($C$4,$D$4:$BE$84,7,FALSE)</f>
        <v>30223.824662813098</v>
      </c>
      <c r="D10" s="226">
        <f t="shared" si="1"/>
        <v>27133.116037363099</v>
      </c>
      <c r="E10" s="226">
        <f t="shared" si="1"/>
        <v>33314.533288263097</v>
      </c>
      <c r="F10" s="80">
        <v>45721.235294117701</v>
      </c>
      <c r="G10" s="80">
        <v>31702.649791612501</v>
      </c>
      <c r="H10" s="80">
        <v>59739.8207966228</v>
      </c>
      <c r="I10" s="80">
        <v>138519.18552732901</v>
      </c>
      <c r="J10" s="80">
        <v>134568.11606937801</v>
      </c>
      <c r="K10" s="80">
        <v>142470.25498527999</v>
      </c>
      <c r="L10" s="80">
        <v>74800.779957582199</v>
      </c>
      <c r="M10" s="80">
        <v>71377.280979999996</v>
      </c>
      <c r="N10" s="80">
        <v>78224.27893</v>
      </c>
      <c r="O10" s="80">
        <v>111651.233542637</v>
      </c>
      <c r="P10" s="80">
        <v>109280.231686459</v>
      </c>
      <c r="Q10" s="80">
        <v>114022.235398815</v>
      </c>
      <c r="R10" s="80">
        <v>10135.202967171699</v>
      </c>
      <c r="S10" s="80">
        <v>9861.6112274212792</v>
      </c>
      <c r="T10" s="80">
        <v>10408.794706922199</v>
      </c>
      <c r="U10" s="80">
        <v>30223.824662813098</v>
      </c>
      <c r="V10" s="80">
        <v>27133.116037363099</v>
      </c>
      <c r="W10" s="80">
        <v>33314.533288263097</v>
      </c>
      <c r="X10" s="272">
        <v>104666.20359435173</v>
      </c>
      <c r="Y10" s="272">
        <v>18037.767225922256</v>
      </c>
      <c r="Z10" s="274">
        <v>21547.380473835616</v>
      </c>
      <c r="AA10" s="275">
        <v>10443.048761367199</v>
      </c>
      <c r="AB10" s="275">
        <v>10134.936969884571</v>
      </c>
      <c r="AC10" s="275">
        <v>10751.160552849828</v>
      </c>
      <c r="AD10" s="238" t="s">
        <v>308</v>
      </c>
      <c r="AI10">
        <v>7</v>
      </c>
      <c r="AK10">
        <v>10</v>
      </c>
    </row>
    <row r="11" spans="1:61" ht="15" customHeight="1" x14ac:dyDescent="0.25">
      <c r="B11" s="223" t="s">
        <v>231</v>
      </c>
      <c r="C11" s="229">
        <f>HLOOKUP($C$4,$D$4:$BE$84,8,FALSE)</f>
        <v>0</v>
      </c>
      <c r="D11" s="226">
        <f t="shared" si="1"/>
        <v>0</v>
      </c>
      <c r="E11" s="226">
        <f t="shared" si="1"/>
        <v>0</v>
      </c>
      <c r="F11" s="80">
        <v>0</v>
      </c>
      <c r="G11" s="80">
        <v>0</v>
      </c>
      <c r="H11" s="80">
        <v>0</v>
      </c>
      <c r="I11" s="80">
        <v>0</v>
      </c>
      <c r="J11" s="80">
        <v>0</v>
      </c>
      <c r="K11" s="80">
        <v>0</v>
      </c>
      <c r="L11" s="80">
        <v>0</v>
      </c>
      <c r="M11" s="80">
        <v>0</v>
      </c>
      <c r="N11" s="80">
        <v>0</v>
      </c>
      <c r="O11" s="80">
        <v>0</v>
      </c>
      <c r="P11" s="80">
        <v>0</v>
      </c>
      <c r="Q11" s="80">
        <v>0</v>
      </c>
      <c r="R11" s="80">
        <v>0</v>
      </c>
      <c r="S11" s="80">
        <v>0</v>
      </c>
      <c r="T11" s="80">
        <v>0</v>
      </c>
      <c r="U11" s="80">
        <v>0</v>
      </c>
      <c r="V11" s="80">
        <v>0</v>
      </c>
      <c r="W11" s="80">
        <v>0</v>
      </c>
      <c r="X11" s="80">
        <v>0</v>
      </c>
      <c r="Y11" s="80">
        <v>0</v>
      </c>
      <c r="Z11" s="269">
        <v>0</v>
      </c>
      <c r="AA11" s="269">
        <v>0</v>
      </c>
      <c r="AB11" s="269">
        <v>0</v>
      </c>
      <c r="AC11" s="269">
        <v>0</v>
      </c>
      <c r="AD11" s="238" t="s">
        <v>308</v>
      </c>
      <c r="AI11">
        <v>8</v>
      </c>
      <c r="AK11">
        <v>13</v>
      </c>
    </row>
    <row r="12" spans="1:61" ht="15" customHeight="1" x14ac:dyDescent="0.25">
      <c r="B12" s="223" t="s">
        <v>232</v>
      </c>
      <c r="C12" s="229">
        <f>HLOOKUP($C$4,$D$4:$BE$84,9,FALSE)</f>
        <v>0</v>
      </c>
      <c r="D12" s="226">
        <f t="shared" si="1"/>
        <v>0</v>
      </c>
      <c r="E12" s="226">
        <f t="shared" si="1"/>
        <v>0</v>
      </c>
      <c r="F12" s="80">
        <v>0</v>
      </c>
      <c r="G12" s="80">
        <v>0</v>
      </c>
      <c r="H12" s="80">
        <v>0</v>
      </c>
      <c r="I12" s="80">
        <v>0</v>
      </c>
      <c r="J12" s="80">
        <v>0</v>
      </c>
      <c r="K12" s="80">
        <v>0</v>
      </c>
      <c r="L12" s="80">
        <v>0</v>
      </c>
      <c r="M12" s="80">
        <v>0</v>
      </c>
      <c r="N12" s="80">
        <v>0</v>
      </c>
      <c r="O12" s="80">
        <v>0</v>
      </c>
      <c r="P12" s="80">
        <v>0</v>
      </c>
      <c r="Q12" s="80">
        <v>0</v>
      </c>
      <c r="R12" s="80">
        <v>0</v>
      </c>
      <c r="S12" s="80">
        <v>0</v>
      </c>
      <c r="T12" s="80">
        <v>0</v>
      </c>
      <c r="U12" s="80">
        <v>0</v>
      </c>
      <c r="V12" s="80">
        <v>0</v>
      </c>
      <c r="W12" s="80">
        <v>0</v>
      </c>
      <c r="X12" s="80">
        <v>0</v>
      </c>
      <c r="Y12" s="80">
        <v>0</v>
      </c>
      <c r="Z12" s="269">
        <v>0</v>
      </c>
      <c r="AA12" s="269">
        <v>0</v>
      </c>
      <c r="AB12" s="269">
        <v>0</v>
      </c>
      <c r="AC12" s="269">
        <v>0</v>
      </c>
      <c r="AD12" s="238" t="s">
        <v>308</v>
      </c>
      <c r="AI12">
        <v>9</v>
      </c>
      <c r="AK12">
        <v>16</v>
      </c>
    </row>
    <row r="13" spans="1:61" ht="15" customHeight="1" x14ac:dyDescent="0.25">
      <c r="B13" s="223" t="s">
        <v>233</v>
      </c>
      <c r="C13" s="229">
        <f>HLOOKUP($C$4,$D$4:$BE$84,10,FALSE)</f>
        <v>0</v>
      </c>
      <c r="D13" s="226">
        <f t="shared" si="1"/>
        <v>0</v>
      </c>
      <c r="E13" s="226">
        <f t="shared" si="1"/>
        <v>0</v>
      </c>
      <c r="F13" s="80">
        <v>0</v>
      </c>
      <c r="G13" s="80">
        <v>0</v>
      </c>
      <c r="H13" s="80">
        <v>0</v>
      </c>
      <c r="I13" s="80">
        <v>0</v>
      </c>
      <c r="J13" s="80">
        <v>0</v>
      </c>
      <c r="K13" s="80">
        <v>0</v>
      </c>
      <c r="L13" s="80">
        <v>0</v>
      </c>
      <c r="M13" s="80">
        <v>0</v>
      </c>
      <c r="N13" s="80">
        <v>0</v>
      </c>
      <c r="O13" s="80">
        <v>0</v>
      </c>
      <c r="P13" s="80">
        <v>0</v>
      </c>
      <c r="Q13" s="80">
        <v>0</v>
      </c>
      <c r="R13" s="80">
        <v>0</v>
      </c>
      <c r="S13" s="80">
        <v>0</v>
      </c>
      <c r="T13" s="80">
        <v>0</v>
      </c>
      <c r="U13" s="80">
        <v>0</v>
      </c>
      <c r="V13" s="80">
        <v>0</v>
      </c>
      <c r="W13" s="80">
        <v>0</v>
      </c>
      <c r="X13" s="80">
        <v>0</v>
      </c>
      <c r="Y13" s="80">
        <v>0</v>
      </c>
      <c r="Z13" s="269">
        <v>0</v>
      </c>
      <c r="AA13" s="269">
        <v>0</v>
      </c>
      <c r="AB13" s="269">
        <v>0</v>
      </c>
      <c r="AC13" s="269">
        <v>0</v>
      </c>
      <c r="AD13" s="238" t="s">
        <v>308</v>
      </c>
      <c r="AI13">
        <v>10</v>
      </c>
    </row>
    <row r="14" spans="1:61" ht="15" customHeight="1" x14ac:dyDescent="0.25">
      <c r="B14" s="223" t="s">
        <v>234</v>
      </c>
      <c r="C14" s="229">
        <f>HLOOKUP($C$4,$D$4:$BE$84,11,FALSE)</f>
        <v>0</v>
      </c>
      <c r="D14" s="226">
        <f t="shared" si="1"/>
        <v>0</v>
      </c>
      <c r="E14" s="226">
        <f t="shared" si="1"/>
        <v>0</v>
      </c>
      <c r="F14" s="80">
        <v>0</v>
      </c>
      <c r="G14" s="80">
        <v>0</v>
      </c>
      <c r="H14" s="80">
        <v>0</v>
      </c>
      <c r="I14" s="80">
        <v>0</v>
      </c>
      <c r="J14" s="80">
        <v>0</v>
      </c>
      <c r="K14" s="80">
        <v>0</v>
      </c>
      <c r="L14" s="80">
        <v>0</v>
      </c>
      <c r="M14" s="80">
        <v>0</v>
      </c>
      <c r="N14" s="80">
        <v>0</v>
      </c>
      <c r="O14" s="80">
        <v>0</v>
      </c>
      <c r="P14" s="80">
        <v>0</v>
      </c>
      <c r="Q14" s="80">
        <v>0</v>
      </c>
      <c r="R14" s="80">
        <v>0</v>
      </c>
      <c r="S14" s="80">
        <v>0</v>
      </c>
      <c r="T14" s="80">
        <v>0</v>
      </c>
      <c r="U14" s="80">
        <v>0</v>
      </c>
      <c r="V14" s="80">
        <v>0</v>
      </c>
      <c r="W14" s="80">
        <v>0</v>
      </c>
      <c r="X14" s="80">
        <v>0</v>
      </c>
      <c r="Y14" s="80">
        <v>0</v>
      </c>
      <c r="Z14" s="269">
        <v>0</v>
      </c>
      <c r="AA14" s="269">
        <v>0</v>
      </c>
      <c r="AB14" s="269">
        <v>0</v>
      </c>
      <c r="AC14" s="269">
        <v>0</v>
      </c>
      <c r="AD14" s="238" t="s">
        <v>308</v>
      </c>
      <c r="AI14">
        <v>11</v>
      </c>
    </row>
    <row r="15" spans="1:61" ht="15" customHeight="1" x14ac:dyDescent="0.25">
      <c r="B15" s="223" t="s">
        <v>235</v>
      </c>
      <c r="C15" s="229">
        <f>HLOOKUP($C$4,$D$4:$BE$84,12,FALSE)</f>
        <v>0</v>
      </c>
      <c r="D15" s="226">
        <f t="shared" si="1"/>
        <v>0</v>
      </c>
      <c r="E15" s="226">
        <f t="shared" si="1"/>
        <v>0</v>
      </c>
      <c r="F15" s="80">
        <v>95.363636363639998</v>
      </c>
      <c r="G15" s="80">
        <v>77.745106996753293</v>
      </c>
      <c r="H15" s="80">
        <v>112.982165730519</v>
      </c>
      <c r="I15" s="80">
        <v>0</v>
      </c>
      <c r="J15" s="80">
        <v>0</v>
      </c>
      <c r="K15" s="80">
        <v>0</v>
      </c>
      <c r="L15" s="80">
        <v>0</v>
      </c>
      <c r="M15" s="80">
        <v>0</v>
      </c>
      <c r="N15" s="80">
        <v>0</v>
      </c>
      <c r="O15" s="80">
        <v>0</v>
      </c>
      <c r="P15" s="80">
        <v>0</v>
      </c>
      <c r="Q15" s="80">
        <v>0</v>
      </c>
      <c r="R15" s="80">
        <v>0</v>
      </c>
      <c r="S15" s="80">
        <v>0</v>
      </c>
      <c r="T15" s="80">
        <v>0</v>
      </c>
      <c r="U15" s="80">
        <v>0</v>
      </c>
      <c r="V15" s="80">
        <v>0</v>
      </c>
      <c r="W15" s="80">
        <v>0</v>
      </c>
      <c r="X15" s="80">
        <v>0</v>
      </c>
      <c r="Y15" s="80">
        <v>0</v>
      </c>
      <c r="Z15" s="269">
        <v>0</v>
      </c>
      <c r="AA15" s="269">
        <v>0</v>
      </c>
      <c r="AB15" s="269">
        <v>0</v>
      </c>
      <c r="AC15" s="269">
        <v>0</v>
      </c>
      <c r="AD15" s="238" t="s">
        <v>308</v>
      </c>
      <c r="AI15">
        <v>12</v>
      </c>
    </row>
    <row r="16" spans="1:61" ht="15" customHeight="1" x14ac:dyDescent="0.25">
      <c r="B16" s="223" t="s">
        <v>236</v>
      </c>
      <c r="C16" s="229">
        <f>HLOOKUP($C$4,$D$4:$BE$84,13,FALSE)</f>
        <v>0</v>
      </c>
      <c r="D16" s="226">
        <f t="shared" si="1"/>
        <v>0</v>
      </c>
      <c r="E16" s="226">
        <f t="shared" si="1"/>
        <v>0</v>
      </c>
      <c r="F16" s="80">
        <v>153.71935483870999</v>
      </c>
      <c r="G16" s="80">
        <v>39.690795399256899</v>
      </c>
      <c r="H16" s="80">
        <v>267.74791427816302</v>
      </c>
      <c r="I16" s="80">
        <v>84.553937888198703</v>
      </c>
      <c r="J16" s="80">
        <v>76.251289244217205</v>
      </c>
      <c r="K16" s="80">
        <v>92.856586532180202</v>
      </c>
      <c r="L16" s="80">
        <v>0</v>
      </c>
      <c r="M16" s="80">
        <v>0</v>
      </c>
      <c r="N16" s="80">
        <v>0</v>
      </c>
      <c r="O16" s="80">
        <v>0</v>
      </c>
      <c r="P16" s="80">
        <v>0</v>
      </c>
      <c r="Q16" s="80">
        <v>0</v>
      </c>
      <c r="R16" s="80">
        <v>20.759381319098399</v>
      </c>
      <c r="S16" s="80">
        <v>17.160192732302299</v>
      </c>
      <c r="T16" s="80">
        <v>24.358569905894502</v>
      </c>
      <c r="U16" s="80">
        <v>0</v>
      </c>
      <c r="V16" s="80">
        <v>0</v>
      </c>
      <c r="W16" s="80">
        <v>0</v>
      </c>
      <c r="X16" s="80">
        <v>0</v>
      </c>
      <c r="Y16" s="80">
        <v>0</v>
      </c>
      <c r="Z16" s="269">
        <v>0</v>
      </c>
      <c r="AA16" s="275">
        <v>23.163126080823865</v>
      </c>
      <c r="AB16" s="275">
        <v>18.983398648640751</v>
      </c>
      <c r="AC16" s="275">
        <v>27.342853513006979</v>
      </c>
      <c r="AD16" s="238" t="s">
        <v>308</v>
      </c>
      <c r="AI16">
        <v>13</v>
      </c>
    </row>
    <row r="17" spans="2:35" ht="15" customHeight="1" x14ac:dyDescent="0.25">
      <c r="B17" s="223" t="s">
        <v>237</v>
      </c>
      <c r="C17" s="229">
        <f>HLOOKUP($C$4,$D$4:$BE$84,14,FALSE)</f>
        <v>0</v>
      </c>
      <c r="D17" s="226">
        <f t="shared" si="1"/>
        <v>0</v>
      </c>
      <c r="E17" s="226">
        <f t="shared" si="1"/>
        <v>0</v>
      </c>
      <c r="F17" s="80">
        <v>0</v>
      </c>
      <c r="G17" s="80">
        <v>0</v>
      </c>
      <c r="H17" s="80">
        <v>0</v>
      </c>
      <c r="I17" s="80">
        <v>0</v>
      </c>
      <c r="J17" s="80">
        <v>0</v>
      </c>
      <c r="K17" s="80">
        <v>0</v>
      </c>
      <c r="L17" s="80">
        <v>0</v>
      </c>
      <c r="M17" s="80">
        <v>0</v>
      </c>
      <c r="N17" s="80">
        <v>0</v>
      </c>
      <c r="O17" s="80">
        <v>0</v>
      </c>
      <c r="P17" s="80">
        <v>0</v>
      </c>
      <c r="Q17" s="80">
        <v>0</v>
      </c>
      <c r="R17" s="80">
        <v>0</v>
      </c>
      <c r="S17" s="80">
        <v>0</v>
      </c>
      <c r="T17" s="80">
        <v>0</v>
      </c>
      <c r="U17" s="80">
        <v>0</v>
      </c>
      <c r="V17" s="80">
        <v>0</v>
      </c>
      <c r="W17" s="80">
        <v>0</v>
      </c>
      <c r="X17" s="80">
        <v>0</v>
      </c>
      <c r="Y17" s="80">
        <v>0</v>
      </c>
      <c r="Z17" s="269">
        <v>0</v>
      </c>
      <c r="AA17" s="269">
        <v>0</v>
      </c>
      <c r="AB17" s="269">
        <v>0</v>
      </c>
      <c r="AC17" s="269">
        <v>0</v>
      </c>
      <c r="AD17" s="238" t="s">
        <v>308</v>
      </c>
      <c r="AI17">
        <v>14</v>
      </c>
    </row>
    <row r="18" spans="2:35" ht="15" customHeight="1" x14ac:dyDescent="0.25">
      <c r="B18" s="223" t="s">
        <v>238</v>
      </c>
      <c r="C18" s="229">
        <f>HLOOKUP($C$4,$D$4:$BE$84,15,FALSE)</f>
        <v>0</v>
      </c>
      <c r="D18" s="226">
        <f t="shared" si="1"/>
        <v>0</v>
      </c>
      <c r="E18" s="226">
        <f t="shared" si="1"/>
        <v>0</v>
      </c>
      <c r="F18" s="80">
        <v>66.293750000000003</v>
      </c>
      <c r="G18" s="80">
        <v>32.2181667571462</v>
      </c>
      <c r="H18" s="80">
        <v>100.369333242854</v>
      </c>
      <c r="I18" s="80">
        <v>0</v>
      </c>
      <c r="J18" s="80">
        <v>0</v>
      </c>
      <c r="K18" s="80">
        <v>0</v>
      </c>
      <c r="L18" s="80">
        <v>0</v>
      </c>
      <c r="M18" s="80">
        <v>0</v>
      </c>
      <c r="N18" s="80">
        <v>0</v>
      </c>
      <c r="O18" s="80">
        <v>0</v>
      </c>
      <c r="P18" s="80">
        <v>0</v>
      </c>
      <c r="Q18" s="80">
        <v>0</v>
      </c>
      <c r="R18" s="80">
        <v>0</v>
      </c>
      <c r="S18" s="80">
        <v>0</v>
      </c>
      <c r="T18" s="80">
        <v>0</v>
      </c>
      <c r="U18" s="80">
        <v>0</v>
      </c>
      <c r="V18" s="80">
        <v>0</v>
      </c>
      <c r="W18" s="80">
        <v>0</v>
      </c>
      <c r="X18" s="80">
        <v>0</v>
      </c>
      <c r="Y18" s="80">
        <v>0</v>
      </c>
      <c r="Z18" s="269">
        <v>0</v>
      </c>
      <c r="AA18" s="269">
        <v>0</v>
      </c>
      <c r="AB18" s="269">
        <v>0</v>
      </c>
      <c r="AC18" s="269">
        <v>0</v>
      </c>
      <c r="AD18" s="238" t="s">
        <v>308</v>
      </c>
      <c r="AI18">
        <v>15</v>
      </c>
    </row>
    <row r="19" spans="2:35" ht="15" customHeight="1" x14ac:dyDescent="0.25">
      <c r="B19" s="223" t="s">
        <v>239</v>
      </c>
      <c r="C19" s="229">
        <f>HLOOKUP($C$4,$D$4:$BE$84,16,FALSE)</f>
        <v>966.24193798449596</v>
      </c>
      <c r="D19" s="226">
        <f t="shared" si="1"/>
        <v>829.49171311147097</v>
      </c>
      <c r="E19" s="226">
        <f t="shared" si="1"/>
        <v>1102.99216285752</v>
      </c>
      <c r="F19" s="80">
        <v>6086.6129030000002</v>
      </c>
      <c r="G19" s="80">
        <v>3060.5765549143298</v>
      </c>
      <c r="H19" s="80">
        <v>9112.6492515372793</v>
      </c>
      <c r="I19" s="80">
        <v>13261.0331531636</v>
      </c>
      <c r="J19" s="80">
        <v>12694.9964197097</v>
      </c>
      <c r="K19" s="80">
        <v>13827.069886617501</v>
      </c>
      <c r="L19" s="80">
        <v>4967.0636121470397</v>
      </c>
      <c r="M19" s="80">
        <v>4561.8386635008901</v>
      </c>
      <c r="N19" s="80">
        <v>5372.2885607931903</v>
      </c>
      <c r="O19" s="80">
        <v>5410.0748487483197</v>
      </c>
      <c r="P19" s="80">
        <v>5546.8705236270798</v>
      </c>
      <c r="Q19" s="80">
        <v>5683.6661985058299</v>
      </c>
      <c r="R19" s="80">
        <v>289.89142055397201</v>
      </c>
      <c r="S19" s="80">
        <v>238.933570967989</v>
      </c>
      <c r="T19" s="80">
        <v>340.84927013995502</v>
      </c>
      <c r="U19" s="80">
        <v>966.24193798449596</v>
      </c>
      <c r="V19" s="80">
        <v>829.49171311147097</v>
      </c>
      <c r="W19" s="80">
        <v>1102.99216285752</v>
      </c>
      <c r="X19" s="272">
        <v>427.84166666666664</v>
      </c>
      <c r="Y19" s="272">
        <v>271.70791655864878</v>
      </c>
      <c r="Z19" s="274">
        <v>583.9754167746845</v>
      </c>
      <c r="AA19" s="275">
        <v>331.81538589562865</v>
      </c>
      <c r="AB19" s="275">
        <v>276.7106068430133</v>
      </c>
      <c r="AC19" s="275">
        <v>386.92016494824401</v>
      </c>
      <c r="AD19" s="238" t="s">
        <v>308</v>
      </c>
      <c r="AI19">
        <v>16</v>
      </c>
    </row>
    <row r="20" spans="2:35" ht="15" customHeight="1" x14ac:dyDescent="0.25">
      <c r="B20" s="223" t="s">
        <v>240</v>
      </c>
      <c r="C20" s="229">
        <f>HLOOKUP($C$4,$D$4:$BE$84,17,FALSE)</f>
        <v>0</v>
      </c>
      <c r="D20" s="226">
        <f t="shared" si="1"/>
        <v>0</v>
      </c>
      <c r="E20" s="226">
        <f t="shared" si="1"/>
        <v>0</v>
      </c>
      <c r="F20" s="80">
        <v>0</v>
      </c>
      <c r="G20" s="80">
        <v>0</v>
      </c>
      <c r="H20" s="80">
        <v>0</v>
      </c>
      <c r="I20" s="80">
        <v>0</v>
      </c>
      <c r="J20" s="80">
        <v>0</v>
      </c>
      <c r="K20" s="80">
        <v>0</v>
      </c>
      <c r="L20" s="80">
        <v>0</v>
      </c>
      <c r="M20" s="80">
        <v>0</v>
      </c>
      <c r="N20" s="80">
        <v>0</v>
      </c>
      <c r="O20" s="80">
        <v>0</v>
      </c>
      <c r="P20" s="80">
        <v>0</v>
      </c>
      <c r="Q20" s="80">
        <v>0</v>
      </c>
      <c r="R20" s="80">
        <v>0</v>
      </c>
      <c r="S20" s="80">
        <v>0</v>
      </c>
      <c r="T20" s="80">
        <v>0</v>
      </c>
      <c r="U20" s="80">
        <v>0</v>
      </c>
      <c r="V20" s="80">
        <v>0</v>
      </c>
      <c r="W20" s="80">
        <v>0</v>
      </c>
      <c r="X20" s="80">
        <v>0</v>
      </c>
      <c r="Y20" s="80">
        <v>0</v>
      </c>
      <c r="Z20" s="269">
        <v>0</v>
      </c>
      <c r="AA20" s="269">
        <v>0</v>
      </c>
      <c r="AB20" s="269">
        <v>0</v>
      </c>
      <c r="AC20" s="269">
        <v>0</v>
      </c>
      <c r="AD20" s="238" t="s">
        <v>308</v>
      </c>
      <c r="AI20">
        <v>17</v>
      </c>
    </row>
    <row r="21" spans="2:35" ht="15" customHeight="1" x14ac:dyDescent="0.25">
      <c r="B21" s="223" t="s">
        <v>241</v>
      </c>
      <c r="C21" s="229">
        <f>HLOOKUP($C$4,$D$4:$BE$84,18,FALSE)</f>
        <v>16523.144616858201</v>
      </c>
      <c r="D21" s="226">
        <f t="shared" si="1"/>
        <v>14707.7728133008</v>
      </c>
      <c r="E21" s="226">
        <f t="shared" si="1"/>
        <v>18338.516420415599</v>
      </c>
      <c r="F21" s="80">
        <v>27554.470588235301</v>
      </c>
      <c r="G21" s="80">
        <v>19068.655371695499</v>
      </c>
      <c r="H21" s="80">
        <v>36040.2858047751</v>
      </c>
      <c r="I21" s="80">
        <v>84989.340729999996</v>
      </c>
      <c r="J21" s="80">
        <v>82531.959877889196</v>
      </c>
      <c r="K21" s="80">
        <v>87446.721584774394</v>
      </c>
      <c r="L21" s="80">
        <v>44993.355519999997</v>
      </c>
      <c r="M21" s="80">
        <v>42855.460130557301</v>
      </c>
      <c r="N21" s="80">
        <v>47131.250915645498</v>
      </c>
      <c r="O21" s="80">
        <v>61247.014297263297</v>
      </c>
      <c r="P21" s="80">
        <v>60056.648515581299</v>
      </c>
      <c r="Q21" s="80">
        <v>62437.3800789452</v>
      </c>
      <c r="R21" s="80">
        <v>4980.4997368571003</v>
      </c>
      <c r="S21" s="80">
        <v>4834.2542745270002</v>
      </c>
      <c r="T21" s="80">
        <v>5126.7451991872003</v>
      </c>
      <c r="U21" s="80">
        <v>16523.144616858201</v>
      </c>
      <c r="V21" s="80">
        <v>14707.7728133008</v>
      </c>
      <c r="W21" s="80">
        <v>18338.516420415599</v>
      </c>
      <c r="X21" s="272">
        <v>9252.132924757283</v>
      </c>
      <c r="Y21" s="272">
        <v>8231.5989536069428</v>
      </c>
      <c r="Z21" s="274">
        <v>10272.666895907623</v>
      </c>
      <c r="AA21" s="275">
        <v>5337.4038929220169</v>
      </c>
      <c r="AB21" s="275">
        <v>5153.5832258112005</v>
      </c>
      <c r="AC21" s="275">
        <v>5521.2245600328333</v>
      </c>
      <c r="AD21" s="238" t="s">
        <v>308</v>
      </c>
      <c r="AI21">
        <v>18</v>
      </c>
    </row>
    <row r="22" spans="2:35" ht="15" customHeight="1" x14ac:dyDescent="0.25">
      <c r="B22" s="223" t="s">
        <v>242</v>
      </c>
      <c r="C22" s="229">
        <f>HLOOKUP($C$4,$D$4:$BE$84,19,FALSE)</f>
        <v>0</v>
      </c>
      <c r="D22" s="226">
        <f t="shared" si="1"/>
        <v>0</v>
      </c>
      <c r="E22" s="226">
        <f t="shared" si="1"/>
        <v>0</v>
      </c>
      <c r="F22" s="80">
        <v>0</v>
      </c>
      <c r="G22" s="80">
        <v>0</v>
      </c>
      <c r="H22" s="80">
        <v>0</v>
      </c>
      <c r="I22" s="80">
        <v>0</v>
      </c>
      <c r="J22" s="80">
        <v>0</v>
      </c>
      <c r="K22" s="80">
        <v>0</v>
      </c>
      <c r="L22" s="80">
        <v>0</v>
      </c>
      <c r="M22" s="80">
        <v>0</v>
      </c>
      <c r="N22" s="80">
        <v>0</v>
      </c>
      <c r="O22" s="80">
        <v>0</v>
      </c>
      <c r="P22" s="80">
        <v>0</v>
      </c>
      <c r="Q22" s="80">
        <v>0</v>
      </c>
      <c r="R22" s="80">
        <v>0</v>
      </c>
      <c r="S22" s="80">
        <v>0</v>
      </c>
      <c r="T22" s="80">
        <v>0</v>
      </c>
      <c r="U22" s="80">
        <v>0</v>
      </c>
      <c r="V22" s="80">
        <v>0</v>
      </c>
      <c r="W22" s="80">
        <v>0</v>
      </c>
      <c r="X22" s="80">
        <v>0</v>
      </c>
      <c r="Y22" s="80">
        <v>0</v>
      </c>
      <c r="Z22" s="269">
        <v>0</v>
      </c>
      <c r="AA22" s="269">
        <v>0</v>
      </c>
      <c r="AB22" s="269">
        <v>0</v>
      </c>
      <c r="AC22" s="269">
        <v>0</v>
      </c>
      <c r="AD22" s="238" t="s">
        <v>308</v>
      </c>
      <c r="AI22">
        <v>19</v>
      </c>
    </row>
    <row r="23" spans="2:35" ht="15" customHeight="1" x14ac:dyDescent="0.25">
      <c r="B23" s="223" t="s">
        <v>243</v>
      </c>
      <c r="C23" s="229">
        <f>HLOOKUP($C$4,$D$4:$BE$84,20,FALSE)</f>
        <v>0</v>
      </c>
      <c r="D23" s="226">
        <f t="shared" ref="D23:E71" si="2">HLOOKUP(D$4,$F$4:$BE$84,$AI23,FALSE)</f>
        <v>0</v>
      </c>
      <c r="E23" s="226">
        <f t="shared" si="2"/>
        <v>0</v>
      </c>
      <c r="F23" s="80">
        <v>0</v>
      </c>
      <c r="G23" s="80">
        <v>0</v>
      </c>
      <c r="H23" s="80">
        <v>0</v>
      </c>
      <c r="I23" s="80">
        <v>0</v>
      </c>
      <c r="J23" s="80">
        <v>0</v>
      </c>
      <c r="K23" s="80">
        <v>0</v>
      </c>
      <c r="L23" s="80">
        <v>0</v>
      </c>
      <c r="M23" s="80">
        <v>0</v>
      </c>
      <c r="N23" s="80">
        <v>0</v>
      </c>
      <c r="O23" s="80">
        <v>0</v>
      </c>
      <c r="P23" s="80">
        <v>0</v>
      </c>
      <c r="Q23" s="80">
        <v>0</v>
      </c>
      <c r="R23" s="80">
        <v>0</v>
      </c>
      <c r="S23" s="80">
        <v>0</v>
      </c>
      <c r="T23" s="80">
        <v>0</v>
      </c>
      <c r="U23" s="80">
        <v>0</v>
      </c>
      <c r="V23" s="80">
        <v>0</v>
      </c>
      <c r="W23" s="80">
        <v>0</v>
      </c>
      <c r="X23" s="80">
        <v>0</v>
      </c>
      <c r="Y23" s="80">
        <v>0</v>
      </c>
      <c r="Z23" s="269">
        <v>0</v>
      </c>
      <c r="AA23" s="269">
        <v>0</v>
      </c>
      <c r="AB23" s="269">
        <v>0</v>
      </c>
      <c r="AC23" s="269">
        <v>0</v>
      </c>
      <c r="AD23" s="238" t="s">
        <v>308</v>
      </c>
      <c r="AI23">
        <v>20</v>
      </c>
    </row>
    <row r="24" spans="2:35" ht="15" customHeight="1" x14ac:dyDescent="0.25">
      <c r="B24" s="223" t="s">
        <v>244</v>
      </c>
      <c r="C24" s="229">
        <f>HLOOKUP($C$4,$D$4:$BE$84,21,FALSE)</f>
        <v>0</v>
      </c>
      <c r="D24" s="226">
        <f t="shared" si="2"/>
        <v>0</v>
      </c>
      <c r="E24" s="226">
        <f t="shared" si="2"/>
        <v>0</v>
      </c>
      <c r="F24" s="80">
        <v>0</v>
      </c>
      <c r="G24" s="80">
        <v>0</v>
      </c>
      <c r="H24" s="80">
        <v>0</v>
      </c>
      <c r="I24" s="80">
        <v>0</v>
      </c>
      <c r="J24" s="80">
        <v>0</v>
      </c>
      <c r="K24" s="80">
        <v>0</v>
      </c>
      <c r="L24" s="80">
        <v>0</v>
      </c>
      <c r="M24" s="80">
        <v>0</v>
      </c>
      <c r="N24" s="80">
        <v>0</v>
      </c>
      <c r="O24" s="80">
        <v>0</v>
      </c>
      <c r="P24" s="80">
        <v>0</v>
      </c>
      <c r="Q24" s="80">
        <v>0</v>
      </c>
      <c r="R24" s="80">
        <v>0</v>
      </c>
      <c r="S24" s="80">
        <v>0</v>
      </c>
      <c r="T24" s="80">
        <v>0</v>
      </c>
      <c r="U24" s="80">
        <v>0</v>
      </c>
      <c r="V24" s="80">
        <v>0</v>
      </c>
      <c r="W24" s="80">
        <v>0</v>
      </c>
      <c r="X24" s="80">
        <v>0</v>
      </c>
      <c r="Y24" s="80">
        <v>0</v>
      </c>
      <c r="Z24" s="269">
        <v>0</v>
      </c>
      <c r="AA24" s="269">
        <v>0</v>
      </c>
      <c r="AB24" s="269">
        <v>0</v>
      </c>
      <c r="AC24" s="269">
        <v>0</v>
      </c>
      <c r="AD24" s="238" t="s">
        <v>308</v>
      </c>
      <c r="AI24">
        <v>21</v>
      </c>
    </row>
    <row r="25" spans="2:35" ht="15" customHeight="1" x14ac:dyDescent="0.25">
      <c r="B25" s="223" t="s">
        <v>245</v>
      </c>
      <c r="C25" s="229">
        <f>HLOOKUP($C$4,$D$4:$BE$84,22,FALSE)</f>
        <v>0</v>
      </c>
      <c r="D25" s="226">
        <f t="shared" si="2"/>
        <v>0</v>
      </c>
      <c r="E25" s="226">
        <f t="shared" si="2"/>
        <v>0</v>
      </c>
      <c r="F25" s="80">
        <v>0</v>
      </c>
      <c r="G25" s="80">
        <v>0</v>
      </c>
      <c r="H25" s="80">
        <v>0</v>
      </c>
      <c r="I25" s="80">
        <v>0</v>
      </c>
      <c r="J25" s="80">
        <v>0</v>
      </c>
      <c r="K25" s="80">
        <v>0</v>
      </c>
      <c r="L25" s="80">
        <v>0</v>
      </c>
      <c r="M25" s="80">
        <v>0</v>
      </c>
      <c r="N25" s="80">
        <v>0</v>
      </c>
      <c r="O25" s="80">
        <v>0</v>
      </c>
      <c r="P25" s="80">
        <v>0</v>
      </c>
      <c r="Q25" s="80">
        <v>0</v>
      </c>
      <c r="R25" s="80">
        <v>0</v>
      </c>
      <c r="S25" s="80">
        <v>0</v>
      </c>
      <c r="T25" s="80">
        <v>0</v>
      </c>
      <c r="U25" s="80">
        <v>0</v>
      </c>
      <c r="V25" s="80">
        <v>0</v>
      </c>
      <c r="W25" s="80">
        <v>0</v>
      </c>
      <c r="X25" s="80">
        <v>0</v>
      </c>
      <c r="Y25" s="80">
        <v>0</v>
      </c>
      <c r="Z25" s="269">
        <v>0</v>
      </c>
      <c r="AA25" s="269">
        <v>0</v>
      </c>
      <c r="AB25" s="269">
        <v>0</v>
      </c>
      <c r="AC25" s="269">
        <v>0</v>
      </c>
      <c r="AD25" s="238" t="s">
        <v>308</v>
      </c>
      <c r="AI25">
        <v>22</v>
      </c>
    </row>
    <row r="26" spans="2:35" ht="15" customHeight="1" x14ac:dyDescent="0.25">
      <c r="B26" s="223" t="s">
        <v>246</v>
      </c>
      <c r="C26" s="229">
        <f>HLOOKUP($C$4,$D$4:$BE$84,23,FALSE)</f>
        <v>0</v>
      </c>
      <c r="D26" s="226">
        <f t="shared" si="2"/>
        <v>0</v>
      </c>
      <c r="E26" s="226">
        <f t="shared" si="2"/>
        <v>0</v>
      </c>
      <c r="F26" s="80">
        <v>22.183793103448298</v>
      </c>
      <c r="G26" s="80">
        <v>7.2445324192523097</v>
      </c>
      <c r="H26" s="80">
        <v>37.123053787644203</v>
      </c>
      <c r="I26" s="80">
        <v>109.706624857469</v>
      </c>
      <c r="J26" s="80">
        <v>92.684831745058105</v>
      </c>
      <c r="K26" s="80">
        <v>126.728417969879</v>
      </c>
      <c r="L26" s="80">
        <v>0</v>
      </c>
      <c r="M26" s="80">
        <v>0</v>
      </c>
      <c r="N26" s="80">
        <v>0</v>
      </c>
      <c r="O26" s="80">
        <v>0</v>
      </c>
      <c r="P26" s="80">
        <v>0</v>
      </c>
      <c r="Q26" s="80">
        <v>0</v>
      </c>
      <c r="R26" s="80">
        <v>31.631136869811701</v>
      </c>
      <c r="S26" s="80">
        <v>29.382841270218499</v>
      </c>
      <c r="T26" s="80">
        <v>33.879432469404797</v>
      </c>
      <c r="U26" s="80">
        <v>0</v>
      </c>
      <c r="V26" s="80">
        <v>0</v>
      </c>
      <c r="W26" s="80">
        <v>0</v>
      </c>
      <c r="X26" s="80">
        <v>0</v>
      </c>
      <c r="Y26" s="80">
        <v>0</v>
      </c>
      <c r="Z26" s="269">
        <v>0</v>
      </c>
      <c r="AA26" s="275">
        <v>31.733383772106095</v>
      </c>
      <c r="AB26" s="275">
        <v>29.490177415635504</v>
      </c>
      <c r="AC26" s="275">
        <v>33.976590128576682</v>
      </c>
      <c r="AD26" s="238" t="s">
        <v>308</v>
      </c>
      <c r="AI26">
        <v>23</v>
      </c>
    </row>
    <row r="27" spans="2:35" ht="15" customHeight="1" x14ac:dyDescent="0.25">
      <c r="B27" s="223" t="s">
        <v>247</v>
      </c>
      <c r="C27" s="229">
        <f>HLOOKUP($C$4,$D$4:$BE$84,24,FALSE)</f>
        <v>1260.38483168317</v>
      </c>
      <c r="D27" s="226">
        <f t="shared" si="2"/>
        <v>1144.75267112503</v>
      </c>
      <c r="E27" s="226">
        <f t="shared" si="2"/>
        <v>1376.0169922413099</v>
      </c>
      <c r="F27" s="80">
        <v>0</v>
      </c>
      <c r="G27" s="80">
        <v>0</v>
      </c>
      <c r="H27" s="80">
        <v>0</v>
      </c>
      <c r="I27" s="80">
        <v>214.892983495556</v>
      </c>
      <c r="J27" s="80">
        <v>201.00885010827599</v>
      </c>
      <c r="K27" s="80">
        <v>228.777116882836</v>
      </c>
      <c r="L27" s="80">
        <v>443.91988512034999</v>
      </c>
      <c r="M27" s="80">
        <v>423.09931776399998</v>
      </c>
      <c r="N27" s="80">
        <v>464.7404524767</v>
      </c>
      <c r="O27" s="80">
        <v>331.51549418873998</v>
      </c>
      <c r="P27" s="80">
        <v>317.32393907016098</v>
      </c>
      <c r="Q27" s="80">
        <v>345.70655976758798</v>
      </c>
      <c r="R27" s="80">
        <v>1325.8185763377501</v>
      </c>
      <c r="S27" s="80">
        <v>1288.69523416946</v>
      </c>
      <c r="T27" s="80">
        <v>1362.9419185060401</v>
      </c>
      <c r="U27" s="80">
        <v>1260.38483168317</v>
      </c>
      <c r="V27" s="80">
        <v>1144.75267112503</v>
      </c>
      <c r="W27" s="80">
        <v>1376.0169922413099</v>
      </c>
      <c r="X27" s="272">
        <v>2132.3304914004921</v>
      </c>
      <c r="Y27" s="272">
        <v>1995.7500563576177</v>
      </c>
      <c r="Z27" s="274">
        <v>2268.9109264433664</v>
      </c>
      <c r="AA27" s="275">
        <v>1324.8988754494928</v>
      </c>
      <c r="AB27" s="275">
        <v>1287.8074990048058</v>
      </c>
      <c r="AC27" s="275">
        <v>1361.9902518941799</v>
      </c>
      <c r="AD27" s="238" t="s">
        <v>308</v>
      </c>
      <c r="AI27">
        <v>24</v>
      </c>
    </row>
    <row r="28" spans="2:35" ht="15" customHeight="1" x14ac:dyDescent="0.25">
      <c r="B28" s="223" t="s">
        <v>248</v>
      </c>
      <c r="C28" s="229">
        <f>HLOOKUP($C$4,$D$4:$BE$84,25,FALSE)</f>
        <v>0</v>
      </c>
      <c r="D28" s="226">
        <f t="shared" si="2"/>
        <v>0</v>
      </c>
      <c r="E28" s="226">
        <f t="shared" si="2"/>
        <v>0</v>
      </c>
      <c r="F28" s="80">
        <v>0</v>
      </c>
      <c r="G28" s="80">
        <v>0</v>
      </c>
      <c r="H28" s="80">
        <v>0</v>
      </c>
      <c r="I28" s="80">
        <v>0</v>
      </c>
      <c r="J28" s="80">
        <v>0</v>
      </c>
      <c r="K28" s="80">
        <v>0</v>
      </c>
      <c r="L28" s="80">
        <v>0</v>
      </c>
      <c r="M28" s="80">
        <v>0</v>
      </c>
      <c r="N28" s="80">
        <v>0</v>
      </c>
      <c r="O28" s="80">
        <v>0</v>
      </c>
      <c r="P28" s="80">
        <v>0</v>
      </c>
      <c r="Q28" s="80">
        <v>0</v>
      </c>
      <c r="R28" s="80">
        <v>0</v>
      </c>
      <c r="S28" s="80">
        <v>0</v>
      </c>
      <c r="T28" s="80">
        <v>0</v>
      </c>
      <c r="U28" s="80">
        <v>0</v>
      </c>
      <c r="V28" s="80">
        <v>0</v>
      </c>
      <c r="W28" s="80">
        <v>0</v>
      </c>
      <c r="X28" s="80">
        <v>0</v>
      </c>
      <c r="Y28" s="80">
        <v>0</v>
      </c>
      <c r="Z28" s="269">
        <v>0</v>
      </c>
      <c r="AA28" s="269">
        <v>0</v>
      </c>
      <c r="AB28" s="269">
        <v>0</v>
      </c>
      <c r="AC28" s="269">
        <v>0</v>
      </c>
      <c r="AD28" s="238" t="s">
        <v>308</v>
      </c>
      <c r="AI28">
        <v>25</v>
      </c>
    </row>
    <row r="29" spans="2:35" ht="15" customHeight="1" x14ac:dyDescent="0.25">
      <c r="B29" s="223" t="s">
        <v>249</v>
      </c>
      <c r="C29" s="229">
        <f>HLOOKUP($C$4,$D$4:$BE$84,26,FALSE)</f>
        <v>0</v>
      </c>
      <c r="D29" s="226">
        <f t="shared" si="2"/>
        <v>0</v>
      </c>
      <c r="E29" s="226">
        <f t="shared" si="2"/>
        <v>0</v>
      </c>
      <c r="F29" s="80">
        <v>15.8896551724138</v>
      </c>
      <c r="G29" s="80">
        <v>9.4661008858513007</v>
      </c>
      <c r="H29" s="80">
        <v>22.313209458976299</v>
      </c>
      <c r="I29" s="80">
        <v>0</v>
      </c>
      <c r="J29" s="80">
        <v>0</v>
      </c>
      <c r="K29" s="80">
        <v>0</v>
      </c>
      <c r="L29" s="80">
        <v>0</v>
      </c>
      <c r="M29" s="80">
        <v>0</v>
      </c>
      <c r="N29" s="80">
        <v>0</v>
      </c>
      <c r="O29" s="80">
        <v>0</v>
      </c>
      <c r="P29" s="80">
        <v>0</v>
      </c>
      <c r="Q29" s="80">
        <v>0</v>
      </c>
      <c r="R29" s="80">
        <v>0</v>
      </c>
      <c r="S29" s="80">
        <v>0</v>
      </c>
      <c r="T29" s="80">
        <v>0</v>
      </c>
      <c r="U29" s="80">
        <v>0</v>
      </c>
      <c r="V29" s="80">
        <v>0</v>
      </c>
      <c r="W29" s="80">
        <v>0</v>
      </c>
      <c r="X29" s="80">
        <v>0</v>
      </c>
      <c r="Y29" s="80">
        <v>0</v>
      </c>
      <c r="Z29" s="269">
        <v>0</v>
      </c>
      <c r="AA29" s="269">
        <v>0</v>
      </c>
      <c r="AB29" s="269">
        <v>0</v>
      </c>
      <c r="AC29" s="269">
        <v>0</v>
      </c>
      <c r="AD29" s="238" t="s">
        <v>308</v>
      </c>
      <c r="AI29">
        <v>26</v>
      </c>
    </row>
    <row r="30" spans="2:35" ht="15" customHeight="1" x14ac:dyDescent="0.25">
      <c r="B30" s="223" t="s">
        <v>250</v>
      </c>
      <c r="C30" s="229">
        <f>HLOOKUP($C$4,$D$4:$BE$84,27,FALSE)</f>
        <v>654.54311557788901</v>
      </c>
      <c r="D30" s="226">
        <f t="shared" si="2"/>
        <v>376.29160247366502</v>
      </c>
      <c r="E30" s="226">
        <f t="shared" si="2"/>
        <v>932.79462868211294</v>
      </c>
      <c r="F30" s="80">
        <v>596.96774193548401</v>
      </c>
      <c r="G30" s="80">
        <v>396.49282208285598</v>
      </c>
      <c r="H30" s="80">
        <v>797.44266178811199</v>
      </c>
      <c r="I30" s="80">
        <v>0</v>
      </c>
      <c r="J30" s="80">
        <v>0</v>
      </c>
      <c r="K30" s="80">
        <v>0</v>
      </c>
      <c r="L30" s="80">
        <v>0</v>
      </c>
      <c r="M30" s="80">
        <v>0</v>
      </c>
      <c r="N30" s="80">
        <v>0</v>
      </c>
      <c r="O30" s="80">
        <v>0</v>
      </c>
      <c r="P30" s="80">
        <v>0</v>
      </c>
      <c r="Q30" s="80">
        <v>0</v>
      </c>
      <c r="R30" s="80">
        <v>108.46199581509001</v>
      </c>
      <c r="S30" s="80">
        <v>95.443781345378994</v>
      </c>
      <c r="T30" s="80">
        <v>121.48021028473801</v>
      </c>
      <c r="U30" s="80">
        <v>654.54311557788901</v>
      </c>
      <c r="V30" s="80">
        <v>376.29160247366502</v>
      </c>
      <c r="W30" s="80">
        <v>932.79462868211294</v>
      </c>
      <c r="X30" s="272">
        <v>268.55075593952483</v>
      </c>
      <c r="Y30" s="272">
        <v>32.656570494488278</v>
      </c>
      <c r="Z30" s="274">
        <v>504.44494138456139</v>
      </c>
      <c r="AA30" s="275">
        <v>111.87020433893701</v>
      </c>
      <c r="AB30" s="275">
        <v>98.823317763752257</v>
      </c>
      <c r="AC30" s="275">
        <v>124.91709091412177</v>
      </c>
      <c r="AD30" s="238" t="s">
        <v>308</v>
      </c>
      <c r="AI30">
        <v>27</v>
      </c>
    </row>
    <row r="31" spans="2:35" ht="15" customHeight="1" x14ac:dyDescent="0.25">
      <c r="B31" s="223" t="s">
        <v>251</v>
      </c>
      <c r="C31" s="229">
        <f>HLOOKUP($C$4,$D$4:$BE$84,28,FALSE)</f>
        <v>0</v>
      </c>
      <c r="D31" s="226">
        <f t="shared" si="2"/>
        <v>0</v>
      </c>
      <c r="E31" s="226">
        <f t="shared" si="2"/>
        <v>0</v>
      </c>
      <c r="F31" s="80">
        <v>19.369696969696999</v>
      </c>
      <c r="G31" s="80">
        <v>12.017066353845699</v>
      </c>
      <c r="H31" s="80">
        <v>26.7223275855482</v>
      </c>
      <c r="I31" s="80">
        <v>0</v>
      </c>
      <c r="J31" s="80">
        <v>0</v>
      </c>
      <c r="K31" s="80">
        <v>0</v>
      </c>
      <c r="L31" s="80">
        <v>0</v>
      </c>
      <c r="M31" s="80">
        <v>0</v>
      </c>
      <c r="N31" s="80">
        <v>0</v>
      </c>
      <c r="O31" s="80">
        <v>0</v>
      </c>
      <c r="P31" s="80">
        <v>0</v>
      </c>
      <c r="Q31" s="80">
        <v>0</v>
      </c>
      <c r="R31" s="80">
        <v>0</v>
      </c>
      <c r="S31" s="80">
        <v>0</v>
      </c>
      <c r="T31" s="80">
        <v>0</v>
      </c>
      <c r="U31" s="80">
        <v>0</v>
      </c>
      <c r="V31" s="80">
        <v>0</v>
      </c>
      <c r="W31" s="80">
        <v>0</v>
      </c>
      <c r="X31" s="272">
        <v>4.4002732240437155</v>
      </c>
      <c r="Y31" s="272">
        <v>3.3955026396056791</v>
      </c>
      <c r="Z31" s="274">
        <v>5.4050438084817518</v>
      </c>
      <c r="AA31" s="269">
        <v>0</v>
      </c>
      <c r="AB31" s="269">
        <v>0</v>
      </c>
      <c r="AC31" s="269">
        <v>0</v>
      </c>
      <c r="AD31" s="238" t="s">
        <v>308</v>
      </c>
      <c r="AI31">
        <v>28</v>
      </c>
    </row>
    <row r="32" spans="2:35" ht="15" customHeight="1" x14ac:dyDescent="0.25">
      <c r="B32" s="223" t="s">
        <v>252</v>
      </c>
      <c r="C32" s="229">
        <f>HLOOKUP($C$4,$D$4:$BE$84,29,FALSE)</f>
        <v>219.62611445783099</v>
      </c>
      <c r="D32" s="226">
        <f t="shared" si="2"/>
        <v>183.97467533251401</v>
      </c>
      <c r="E32" s="226">
        <f t="shared" si="2"/>
        <v>255.27755358314801</v>
      </c>
      <c r="F32" s="80">
        <v>53.580645161290299</v>
      </c>
      <c r="G32" s="80">
        <v>19.175425403207502</v>
      </c>
      <c r="H32" s="80">
        <v>87.985864919373199</v>
      </c>
      <c r="I32" s="80">
        <v>1592.78838098918</v>
      </c>
      <c r="J32" s="80">
        <v>1518.24919083697</v>
      </c>
      <c r="K32" s="80">
        <v>1667.3275711413901</v>
      </c>
      <c r="L32" s="80">
        <v>562.80080404685805</v>
      </c>
      <c r="M32" s="80">
        <v>519.80491099503899</v>
      </c>
      <c r="N32" s="80">
        <v>605.79697098677002</v>
      </c>
      <c r="O32" s="80">
        <v>1291.76659974218</v>
      </c>
      <c r="P32" s="80">
        <v>1251.67823135444</v>
      </c>
      <c r="Q32" s="80">
        <v>1331.8549681299301</v>
      </c>
      <c r="R32" s="80">
        <v>26.715717045061002</v>
      </c>
      <c r="S32" s="80">
        <v>24.889046677509398</v>
      </c>
      <c r="T32" s="80">
        <v>28.5412967315029</v>
      </c>
      <c r="U32" s="80">
        <v>219.62611445783099</v>
      </c>
      <c r="V32" s="80">
        <v>183.97467533251401</v>
      </c>
      <c r="W32" s="80">
        <v>255.27755358314801</v>
      </c>
      <c r="X32" s="272">
        <v>70.518031088082878</v>
      </c>
      <c r="Y32" s="272">
        <v>53.958631722571688</v>
      </c>
      <c r="Z32" s="274">
        <v>87.077430453594062</v>
      </c>
      <c r="AA32" s="275">
        <v>28.627290079312022</v>
      </c>
      <c r="AB32" s="275">
        <v>26.234331176248642</v>
      </c>
      <c r="AC32" s="275">
        <v>31.020248982375403</v>
      </c>
      <c r="AD32" s="238" t="s">
        <v>308</v>
      </c>
      <c r="AI32">
        <v>29</v>
      </c>
    </row>
    <row r="33" spans="2:35" ht="15" customHeight="1" x14ac:dyDescent="0.25">
      <c r="B33" s="223" t="s">
        <v>253</v>
      </c>
      <c r="C33" s="229">
        <f>HLOOKUP($C$4,$D$4:$BE$84,30,FALSE)</f>
        <v>0</v>
      </c>
      <c r="D33" s="226">
        <f t="shared" si="2"/>
        <v>0</v>
      </c>
      <c r="E33" s="226">
        <f t="shared" si="2"/>
        <v>0</v>
      </c>
      <c r="F33" s="80">
        <v>3.9230769230769198</v>
      </c>
      <c r="G33" s="80">
        <v>1.01634594556325</v>
      </c>
      <c r="H33" s="80">
        <v>6.8298079005906001</v>
      </c>
      <c r="I33" s="80">
        <v>0</v>
      </c>
      <c r="J33" s="80">
        <v>0</v>
      </c>
      <c r="K33" s="80">
        <v>0</v>
      </c>
      <c r="L33" s="80">
        <v>0</v>
      </c>
      <c r="M33" s="80">
        <v>0</v>
      </c>
      <c r="N33" s="80">
        <v>0</v>
      </c>
      <c r="O33" s="80">
        <v>0</v>
      </c>
      <c r="P33" s="80">
        <v>0</v>
      </c>
      <c r="Q33" s="80">
        <v>0</v>
      </c>
      <c r="R33" s="80">
        <v>0</v>
      </c>
      <c r="S33" s="80">
        <v>0</v>
      </c>
      <c r="T33" s="80">
        <v>0</v>
      </c>
      <c r="U33" s="80">
        <v>0</v>
      </c>
      <c r="V33" s="80">
        <v>0</v>
      </c>
      <c r="W33" s="80">
        <v>0</v>
      </c>
      <c r="X33" s="80">
        <v>0</v>
      </c>
      <c r="Y33" s="80">
        <v>0</v>
      </c>
      <c r="Z33" s="269">
        <v>0</v>
      </c>
      <c r="AA33" s="269">
        <v>0</v>
      </c>
      <c r="AB33" s="269">
        <v>0</v>
      </c>
      <c r="AC33" s="269">
        <v>0</v>
      </c>
      <c r="AD33" s="238" t="s">
        <v>308</v>
      </c>
      <c r="AI33">
        <v>30</v>
      </c>
    </row>
    <row r="34" spans="2:35" ht="15" customHeight="1" x14ac:dyDescent="0.25">
      <c r="B34" s="223" t="s">
        <v>254</v>
      </c>
      <c r="C34" s="229">
        <f>HLOOKUP($C$4,$D$4:$BE$84,31,FALSE)</f>
        <v>0</v>
      </c>
      <c r="D34" s="226">
        <f t="shared" si="2"/>
        <v>0</v>
      </c>
      <c r="E34" s="226">
        <f t="shared" si="2"/>
        <v>0</v>
      </c>
      <c r="F34" s="80">
        <v>0</v>
      </c>
      <c r="G34" s="80">
        <v>0</v>
      </c>
      <c r="H34" s="80">
        <v>0</v>
      </c>
      <c r="I34" s="80">
        <v>0</v>
      </c>
      <c r="J34" s="80">
        <v>0</v>
      </c>
      <c r="K34" s="80">
        <v>0</v>
      </c>
      <c r="L34" s="80">
        <v>0</v>
      </c>
      <c r="M34" s="80">
        <v>0</v>
      </c>
      <c r="N34" s="80">
        <v>0</v>
      </c>
      <c r="O34" s="80">
        <v>0</v>
      </c>
      <c r="P34" s="80">
        <v>0</v>
      </c>
      <c r="Q34" s="80">
        <v>0</v>
      </c>
      <c r="R34" s="80">
        <v>0</v>
      </c>
      <c r="S34" s="80">
        <v>0</v>
      </c>
      <c r="T34" s="80">
        <v>0</v>
      </c>
      <c r="U34" s="80">
        <v>0</v>
      </c>
      <c r="V34" s="80">
        <v>0</v>
      </c>
      <c r="W34" s="80">
        <v>0</v>
      </c>
      <c r="X34" s="80">
        <v>0</v>
      </c>
      <c r="Y34" s="80">
        <v>0</v>
      </c>
      <c r="Z34" s="269">
        <v>0</v>
      </c>
      <c r="AA34" s="269">
        <v>0</v>
      </c>
      <c r="AB34" s="269">
        <v>0</v>
      </c>
      <c r="AC34" s="269">
        <v>0</v>
      </c>
      <c r="AD34" s="238" t="s">
        <v>308</v>
      </c>
      <c r="AI34">
        <v>31</v>
      </c>
    </row>
    <row r="35" spans="2:35" ht="15" customHeight="1" x14ac:dyDescent="0.25">
      <c r="B35" s="223" t="s">
        <v>255</v>
      </c>
      <c r="C35" s="229">
        <f>HLOOKUP($C$4,$D$4:$BE$84,32,FALSE)</f>
        <v>0</v>
      </c>
      <c r="D35" s="226">
        <f t="shared" si="2"/>
        <v>0</v>
      </c>
      <c r="E35" s="226">
        <f t="shared" si="2"/>
        <v>0</v>
      </c>
      <c r="F35" s="80">
        <v>0</v>
      </c>
      <c r="G35" s="80">
        <v>0</v>
      </c>
      <c r="H35" s="80">
        <v>0</v>
      </c>
      <c r="I35" s="80">
        <v>0</v>
      </c>
      <c r="J35" s="80">
        <v>0</v>
      </c>
      <c r="K35" s="80">
        <v>0</v>
      </c>
      <c r="L35" s="80">
        <v>0</v>
      </c>
      <c r="M35" s="80">
        <v>0</v>
      </c>
      <c r="N35" s="80">
        <v>0</v>
      </c>
      <c r="O35" s="80">
        <v>0</v>
      </c>
      <c r="P35" s="80">
        <v>0</v>
      </c>
      <c r="Q35" s="80">
        <v>0</v>
      </c>
      <c r="R35" s="80">
        <v>0</v>
      </c>
      <c r="S35" s="80">
        <v>0</v>
      </c>
      <c r="T35" s="80">
        <v>0</v>
      </c>
      <c r="U35" s="80">
        <v>0</v>
      </c>
      <c r="V35" s="80">
        <v>0</v>
      </c>
      <c r="W35" s="80">
        <v>0</v>
      </c>
      <c r="X35" s="80">
        <v>0</v>
      </c>
      <c r="Y35" s="80">
        <v>0</v>
      </c>
      <c r="Z35" s="269">
        <v>0</v>
      </c>
      <c r="AA35" s="269">
        <v>0</v>
      </c>
      <c r="AB35" s="269">
        <v>0</v>
      </c>
      <c r="AC35" s="269">
        <v>0</v>
      </c>
      <c r="AD35" s="238" t="s">
        <v>308</v>
      </c>
      <c r="AI35">
        <v>32</v>
      </c>
    </row>
    <row r="36" spans="2:35" ht="15" customHeight="1" x14ac:dyDescent="0.25">
      <c r="B36" s="223" t="s">
        <v>256</v>
      </c>
      <c r="C36" s="229">
        <f>HLOOKUP($C$4,$D$4:$BE$84,33,FALSE)</f>
        <v>0</v>
      </c>
      <c r="D36" s="226">
        <f t="shared" si="2"/>
        <v>0</v>
      </c>
      <c r="E36" s="226">
        <f t="shared" si="2"/>
        <v>0</v>
      </c>
      <c r="F36" s="80">
        <v>0</v>
      </c>
      <c r="G36" s="80">
        <v>0</v>
      </c>
      <c r="H36" s="80">
        <v>0</v>
      </c>
      <c r="I36" s="80">
        <v>0</v>
      </c>
      <c r="J36" s="80">
        <v>0</v>
      </c>
      <c r="K36" s="80">
        <v>0</v>
      </c>
      <c r="L36" s="80">
        <v>0</v>
      </c>
      <c r="M36" s="80">
        <v>0</v>
      </c>
      <c r="N36" s="80">
        <v>0</v>
      </c>
      <c r="O36" s="80">
        <v>0</v>
      </c>
      <c r="P36" s="80">
        <v>0</v>
      </c>
      <c r="Q36" s="80">
        <v>0</v>
      </c>
      <c r="R36" s="80">
        <v>0</v>
      </c>
      <c r="S36" s="80">
        <v>0</v>
      </c>
      <c r="T36" s="80">
        <v>0</v>
      </c>
      <c r="U36" s="80">
        <v>0</v>
      </c>
      <c r="V36" s="80">
        <v>0</v>
      </c>
      <c r="W36" s="80">
        <v>0</v>
      </c>
      <c r="X36" s="80">
        <v>0</v>
      </c>
      <c r="Y36" s="80">
        <v>0</v>
      </c>
      <c r="Z36" s="269">
        <v>0</v>
      </c>
      <c r="AA36" s="269">
        <v>0</v>
      </c>
      <c r="AB36" s="269">
        <v>0</v>
      </c>
      <c r="AC36" s="269">
        <v>0</v>
      </c>
      <c r="AD36" s="238" t="s">
        <v>308</v>
      </c>
      <c r="AI36">
        <v>33</v>
      </c>
    </row>
    <row r="37" spans="2:35" ht="15" customHeight="1" x14ac:dyDescent="0.25">
      <c r="B37" s="223" t="s">
        <v>257</v>
      </c>
      <c r="C37" s="229">
        <f>HLOOKUP($C$4,$D$4:$BE$84,34,FALSE)</f>
        <v>0</v>
      </c>
      <c r="D37" s="226">
        <f t="shared" si="2"/>
        <v>0</v>
      </c>
      <c r="E37" s="226">
        <f t="shared" si="2"/>
        <v>0</v>
      </c>
      <c r="F37" s="80">
        <v>0</v>
      </c>
      <c r="G37" s="80">
        <v>0</v>
      </c>
      <c r="H37" s="80">
        <v>0</v>
      </c>
      <c r="I37" s="80">
        <v>0</v>
      </c>
      <c r="J37" s="80">
        <v>0</v>
      </c>
      <c r="K37" s="80">
        <v>0</v>
      </c>
      <c r="L37" s="80">
        <v>0</v>
      </c>
      <c r="M37" s="80">
        <v>0</v>
      </c>
      <c r="N37" s="80">
        <v>0</v>
      </c>
      <c r="O37" s="80">
        <v>0</v>
      </c>
      <c r="P37" s="80">
        <v>0</v>
      </c>
      <c r="Q37" s="80">
        <v>0</v>
      </c>
      <c r="R37" s="80">
        <v>0</v>
      </c>
      <c r="S37" s="80">
        <v>0</v>
      </c>
      <c r="T37" s="80">
        <v>0</v>
      </c>
      <c r="U37" s="80">
        <v>0</v>
      </c>
      <c r="V37" s="80">
        <v>0</v>
      </c>
      <c r="W37" s="80">
        <v>0</v>
      </c>
      <c r="X37" s="80">
        <v>0</v>
      </c>
      <c r="Y37" s="80">
        <v>0</v>
      </c>
      <c r="Z37" s="269">
        <v>0</v>
      </c>
      <c r="AA37" s="269">
        <v>0</v>
      </c>
      <c r="AB37" s="269">
        <v>0</v>
      </c>
      <c r="AC37" s="269">
        <v>0</v>
      </c>
      <c r="AD37" s="238" t="s">
        <v>308</v>
      </c>
      <c r="AI37">
        <v>34</v>
      </c>
    </row>
    <row r="38" spans="2:35" ht="15" customHeight="1" x14ac:dyDescent="0.25">
      <c r="B38" s="223" t="s">
        <v>258</v>
      </c>
      <c r="C38" s="229">
        <f>HLOOKUP($C$4,$D$4:$BE$84,35,FALSE)</f>
        <v>0</v>
      </c>
      <c r="D38" s="226">
        <f t="shared" si="2"/>
        <v>0</v>
      </c>
      <c r="E38" s="226">
        <f t="shared" si="2"/>
        <v>0</v>
      </c>
      <c r="F38" s="80">
        <v>0</v>
      </c>
      <c r="G38" s="80">
        <v>0</v>
      </c>
      <c r="H38" s="80">
        <v>0</v>
      </c>
      <c r="I38" s="80">
        <v>0</v>
      </c>
      <c r="J38" s="80">
        <v>0</v>
      </c>
      <c r="K38" s="80">
        <v>0</v>
      </c>
      <c r="L38" s="80">
        <v>0</v>
      </c>
      <c r="M38" s="80">
        <v>0</v>
      </c>
      <c r="N38" s="80">
        <v>0</v>
      </c>
      <c r="O38" s="80">
        <v>0</v>
      </c>
      <c r="P38" s="80">
        <v>0</v>
      </c>
      <c r="Q38" s="80">
        <v>0</v>
      </c>
      <c r="R38" s="80">
        <v>0</v>
      </c>
      <c r="S38" s="80">
        <v>0</v>
      </c>
      <c r="T38" s="80">
        <v>0</v>
      </c>
      <c r="U38" s="80">
        <v>0</v>
      </c>
      <c r="V38" s="80">
        <v>0</v>
      </c>
      <c r="W38" s="80">
        <v>0</v>
      </c>
      <c r="X38" s="80">
        <v>0</v>
      </c>
      <c r="Y38" s="80">
        <v>0</v>
      </c>
      <c r="Z38" s="269">
        <v>0</v>
      </c>
      <c r="AA38" s="269">
        <v>0</v>
      </c>
      <c r="AB38" s="269">
        <v>0</v>
      </c>
      <c r="AC38" s="269">
        <v>0</v>
      </c>
      <c r="AD38" s="238" t="s">
        <v>308</v>
      </c>
      <c r="AI38">
        <v>35</v>
      </c>
    </row>
    <row r="39" spans="2:35" ht="15" customHeight="1" x14ac:dyDescent="0.25">
      <c r="B39" s="223" t="s">
        <v>259</v>
      </c>
      <c r="C39" s="229">
        <f>HLOOKUP($C$4,$D$4:$BE$84,36,FALSE)</f>
        <v>0</v>
      </c>
      <c r="D39" s="226">
        <f t="shared" si="2"/>
        <v>0</v>
      </c>
      <c r="E39" s="226">
        <f t="shared" si="2"/>
        <v>0</v>
      </c>
      <c r="F39" s="80">
        <v>0</v>
      </c>
      <c r="G39" s="80">
        <v>0</v>
      </c>
      <c r="H39" s="80">
        <v>0</v>
      </c>
      <c r="I39" s="80">
        <v>0</v>
      </c>
      <c r="J39" s="80">
        <v>0</v>
      </c>
      <c r="K39" s="80">
        <v>0</v>
      </c>
      <c r="L39" s="80">
        <v>0</v>
      </c>
      <c r="M39" s="80">
        <v>0</v>
      </c>
      <c r="N39" s="80">
        <v>0</v>
      </c>
      <c r="O39" s="80">
        <v>0</v>
      </c>
      <c r="P39" s="80">
        <v>0</v>
      </c>
      <c r="Q39" s="80">
        <v>0</v>
      </c>
      <c r="R39" s="80">
        <v>0</v>
      </c>
      <c r="S39" s="80">
        <v>0</v>
      </c>
      <c r="T39" s="80">
        <v>0</v>
      </c>
      <c r="U39" s="80">
        <v>0</v>
      </c>
      <c r="V39" s="80">
        <v>0</v>
      </c>
      <c r="W39" s="80">
        <v>0</v>
      </c>
      <c r="X39" s="80">
        <v>0</v>
      </c>
      <c r="Y39" s="80">
        <v>0</v>
      </c>
      <c r="Z39" s="269">
        <v>0</v>
      </c>
      <c r="AA39" s="269">
        <v>0</v>
      </c>
      <c r="AB39" s="269">
        <v>0</v>
      </c>
      <c r="AC39" s="269">
        <v>0</v>
      </c>
      <c r="AD39" s="238" t="s">
        <v>308</v>
      </c>
      <c r="AI39">
        <v>36</v>
      </c>
    </row>
    <row r="40" spans="2:35" ht="15" customHeight="1" x14ac:dyDescent="0.25">
      <c r="B40" s="223" t="s">
        <v>260</v>
      </c>
      <c r="C40" s="229">
        <f>HLOOKUP($C$4,$D$4:$BE$84,37,FALSE)</f>
        <v>9963.7315191146899</v>
      </c>
      <c r="D40" s="226">
        <f t="shared" si="2"/>
        <v>8957.4766984644593</v>
      </c>
      <c r="E40" s="226">
        <f t="shared" si="2"/>
        <v>10969.986339764901</v>
      </c>
      <c r="F40" s="80">
        <v>11378.147058823501</v>
      </c>
      <c r="G40" s="80">
        <v>7716.6462510000001</v>
      </c>
      <c r="H40" s="80">
        <v>15039.647866397499</v>
      </c>
      <c r="I40" s="80">
        <v>37957.422653939801</v>
      </c>
      <c r="J40" s="80">
        <v>37015.7399447481</v>
      </c>
      <c r="K40" s="80">
        <v>38899.105363131501</v>
      </c>
      <c r="L40" s="80">
        <v>22544.4422875817</v>
      </c>
      <c r="M40" s="80">
        <v>21631.8417102618</v>
      </c>
      <c r="N40" s="80">
        <v>23457.042864901599</v>
      </c>
      <c r="O40" s="80">
        <v>37890.681165950897</v>
      </c>
      <c r="P40" s="80">
        <v>36966.086985914</v>
      </c>
      <c r="Q40" s="80">
        <v>38815.275345960399</v>
      </c>
      <c r="R40" s="80">
        <v>3177.7051948795702</v>
      </c>
      <c r="S40" s="80">
        <v>3099.1799681587299</v>
      </c>
      <c r="T40" s="80">
        <v>3256.2304216003999</v>
      </c>
      <c r="U40" s="80">
        <v>9963.7315191146899</v>
      </c>
      <c r="V40" s="80">
        <v>8957.4766984644593</v>
      </c>
      <c r="W40" s="80">
        <v>10969.986339764901</v>
      </c>
      <c r="X40" s="272">
        <v>6992.5267277167286</v>
      </c>
      <c r="Y40" s="272">
        <v>6398.0037161583869</v>
      </c>
      <c r="Z40" s="274">
        <v>7587.0497392750704</v>
      </c>
      <c r="AA40" s="275">
        <v>3254.1264863689566</v>
      </c>
      <c r="AB40" s="275">
        <v>3167.7033568502275</v>
      </c>
      <c r="AC40" s="275">
        <v>3340.5496158876858</v>
      </c>
      <c r="AD40" s="238" t="s">
        <v>308</v>
      </c>
      <c r="AI40">
        <v>37</v>
      </c>
    </row>
    <row r="41" spans="2:35" ht="15" customHeight="1" x14ac:dyDescent="0.25">
      <c r="B41" s="223" t="s">
        <v>261</v>
      </c>
      <c r="C41" s="229">
        <f>HLOOKUP($C$4,$D$4:$BE$84,38,FALSE)</f>
        <v>0</v>
      </c>
      <c r="D41" s="226">
        <f t="shared" si="2"/>
        <v>0</v>
      </c>
      <c r="E41" s="226">
        <f t="shared" si="2"/>
        <v>0</v>
      </c>
      <c r="F41" s="80">
        <v>0</v>
      </c>
      <c r="G41" s="80">
        <v>0</v>
      </c>
      <c r="H41" s="80">
        <v>0</v>
      </c>
      <c r="I41" s="80">
        <v>0</v>
      </c>
      <c r="J41" s="80">
        <v>0</v>
      </c>
      <c r="K41" s="80">
        <v>0</v>
      </c>
      <c r="L41" s="80">
        <v>0</v>
      </c>
      <c r="M41" s="80">
        <v>0</v>
      </c>
      <c r="N41" s="80">
        <v>0</v>
      </c>
      <c r="O41" s="80">
        <v>0</v>
      </c>
      <c r="P41" s="80">
        <v>0</v>
      </c>
      <c r="Q41" s="80">
        <v>0</v>
      </c>
      <c r="R41" s="80">
        <v>0</v>
      </c>
      <c r="S41" s="80">
        <v>0</v>
      </c>
      <c r="T41" s="80">
        <v>0</v>
      </c>
      <c r="U41" s="80">
        <v>0</v>
      </c>
      <c r="V41" s="80">
        <v>0</v>
      </c>
      <c r="W41" s="80">
        <v>0</v>
      </c>
      <c r="X41" s="80">
        <v>0</v>
      </c>
      <c r="Y41" s="80">
        <v>0</v>
      </c>
      <c r="Z41" s="269">
        <v>0</v>
      </c>
      <c r="AA41" s="269">
        <v>0</v>
      </c>
      <c r="AB41" s="269">
        <v>0</v>
      </c>
      <c r="AC41" s="269">
        <v>0</v>
      </c>
      <c r="AD41" s="238" t="s">
        <v>308</v>
      </c>
      <c r="AI41">
        <v>38</v>
      </c>
    </row>
    <row r="42" spans="2:35" ht="15" customHeight="1" x14ac:dyDescent="0.25">
      <c r="B42" s="223" t="s">
        <v>262</v>
      </c>
      <c r="C42" s="229">
        <f>HLOOKUP($C$4,$D$4:$BE$84,39,FALSE)</f>
        <v>0</v>
      </c>
      <c r="D42" s="226">
        <f t="shared" si="2"/>
        <v>0</v>
      </c>
      <c r="E42" s="226">
        <f t="shared" si="2"/>
        <v>0</v>
      </c>
      <c r="F42" s="80">
        <v>0</v>
      </c>
      <c r="G42" s="80">
        <v>0</v>
      </c>
      <c r="H42" s="80">
        <v>0</v>
      </c>
      <c r="I42" s="80">
        <v>0</v>
      </c>
      <c r="J42" s="80">
        <v>0</v>
      </c>
      <c r="K42" s="80">
        <v>0</v>
      </c>
      <c r="L42" s="80">
        <v>0</v>
      </c>
      <c r="M42" s="80">
        <v>0</v>
      </c>
      <c r="N42" s="80">
        <v>0</v>
      </c>
      <c r="O42" s="80">
        <v>0</v>
      </c>
      <c r="P42" s="80">
        <v>0</v>
      </c>
      <c r="Q42" s="80">
        <v>0</v>
      </c>
      <c r="R42" s="80">
        <v>0</v>
      </c>
      <c r="S42" s="80">
        <v>0</v>
      </c>
      <c r="T42" s="80">
        <v>0</v>
      </c>
      <c r="U42" s="80">
        <v>0</v>
      </c>
      <c r="V42" s="80">
        <v>0</v>
      </c>
      <c r="W42" s="80">
        <v>0</v>
      </c>
      <c r="X42" s="80">
        <v>0</v>
      </c>
      <c r="Y42" s="80">
        <v>0</v>
      </c>
      <c r="Z42" s="269">
        <v>0</v>
      </c>
      <c r="AA42" s="269">
        <v>0</v>
      </c>
      <c r="AB42" s="269">
        <v>0</v>
      </c>
      <c r="AC42" s="269">
        <v>0</v>
      </c>
      <c r="AD42" s="238" t="s">
        <v>308</v>
      </c>
      <c r="AI42">
        <v>39</v>
      </c>
    </row>
    <row r="43" spans="2:35" ht="15" customHeight="1" x14ac:dyDescent="0.25">
      <c r="B43" s="223" t="s">
        <v>263</v>
      </c>
      <c r="C43" s="229">
        <f>HLOOKUP($C$4,$D$4:$BE$84,40,FALSE)</f>
        <v>0</v>
      </c>
      <c r="D43" s="226">
        <f t="shared" si="2"/>
        <v>0</v>
      </c>
      <c r="E43" s="226">
        <f t="shared" si="2"/>
        <v>0</v>
      </c>
      <c r="F43" s="80">
        <v>0</v>
      </c>
      <c r="G43" s="80">
        <v>0</v>
      </c>
      <c r="H43" s="80">
        <v>0</v>
      </c>
      <c r="I43" s="80">
        <v>0</v>
      </c>
      <c r="J43" s="80">
        <v>0</v>
      </c>
      <c r="K43" s="80">
        <v>0</v>
      </c>
      <c r="L43" s="80">
        <v>0</v>
      </c>
      <c r="M43" s="80">
        <v>0</v>
      </c>
      <c r="N43" s="80">
        <v>0</v>
      </c>
      <c r="O43" s="80">
        <v>0</v>
      </c>
      <c r="P43" s="80">
        <v>0</v>
      </c>
      <c r="Q43" s="80">
        <v>0</v>
      </c>
      <c r="R43" s="80">
        <v>0</v>
      </c>
      <c r="S43" s="80">
        <v>0</v>
      </c>
      <c r="T43" s="80">
        <v>0</v>
      </c>
      <c r="U43" s="80">
        <v>0</v>
      </c>
      <c r="V43" s="80">
        <v>0</v>
      </c>
      <c r="W43" s="80">
        <v>0</v>
      </c>
      <c r="X43" s="80">
        <v>0</v>
      </c>
      <c r="Y43" s="80">
        <v>0</v>
      </c>
      <c r="Z43" s="269">
        <v>0</v>
      </c>
      <c r="AA43" s="269">
        <v>0</v>
      </c>
      <c r="AB43" s="269">
        <v>0</v>
      </c>
      <c r="AC43" s="269">
        <v>0</v>
      </c>
      <c r="AD43" s="238" t="s">
        <v>308</v>
      </c>
      <c r="AI43">
        <v>40</v>
      </c>
    </row>
    <row r="44" spans="2:35" ht="15" customHeight="1" x14ac:dyDescent="0.25">
      <c r="B44" s="223" t="s">
        <v>264</v>
      </c>
      <c r="C44" s="229">
        <f>HLOOKUP($C$4,$D$4:$BE$84,41,FALSE)</f>
        <v>0</v>
      </c>
      <c r="D44" s="226">
        <f t="shared" si="2"/>
        <v>0</v>
      </c>
      <c r="E44" s="226">
        <f t="shared" si="2"/>
        <v>0</v>
      </c>
      <c r="F44" s="80">
        <v>0</v>
      </c>
      <c r="G44" s="80">
        <v>0</v>
      </c>
      <c r="H44" s="80">
        <v>0</v>
      </c>
      <c r="I44" s="80">
        <v>0</v>
      </c>
      <c r="J44" s="80">
        <v>0</v>
      </c>
      <c r="K44" s="80">
        <v>0</v>
      </c>
      <c r="L44" s="80">
        <v>0</v>
      </c>
      <c r="M44" s="80">
        <v>0</v>
      </c>
      <c r="N44" s="80">
        <v>0</v>
      </c>
      <c r="O44" s="80">
        <v>0</v>
      </c>
      <c r="P44" s="80">
        <v>0</v>
      </c>
      <c r="Q44" s="80">
        <v>0</v>
      </c>
      <c r="R44" s="80">
        <v>0</v>
      </c>
      <c r="S44" s="80">
        <v>0</v>
      </c>
      <c r="T44" s="80">
        <v>0</v>
      </c>
      <c r="U44" s="80">
        <v>0</v>
      </c>
      <c r="V44" s="80">
        <v>0</v>
      </c>
      <c r="W44" s="80">
        <v>0</v>
      </c>
      <c r="X44" s="80">
        <v>0</v>
      </c>
      <c r="Y44" s="80">
        <v>0</v>
      </c>
      <c r="Z44" s="269">
        <v>0</v>
      </c>
      <c r="AA44" s="269">
        <v>0</v>
      </c>
      <c r="AB44" s="269">
        <v>0</v>
      </c>
      <c r="AC44" s="269">
        <v>0</v>
      </c>
      <c r="AD44" s="238" t="s">
        <v>308</v>
      </c>
      <c r="AI44">
        <v>41</v>
      </c>
    </row>
    <row r="45" spans="2:35" ht="15" customHeight="1" x14ac:dyDescent="0.25">
      <c r="B45" s="223" t="s">
        <v>265</v>
      </c>
      <c r="C45" s="229">
        <f>HLOOKUP($C$4,$D$4:$BE$84,42,FALSE)</f>
        <v>0</v>
      </c>
      <c r="D45" s="226">
        <f t="shared" si="2"/>
        <v>0</v>
      </c>
      <c r="E45" s="226">
        <f t="shared" si="2"/>
        <v>0</v>
      </c>
      <c r="F45" s="80">
        <v>0</v>
      </c>
      <c r="G45" s="80">
        <v>0</v>
      </c>
      <c r="H45" s="80">
        <v>0</v>
      </c>
      <c r="I45" s="80">
        <v>0</v>
      </c>
      <c r="J45" s="80">
        <v>0</v>
      </c>
      <c r="K45" s="80">
        <v>0</v>
      </c>
      <c r="L45" s="80">
        <v>0</v>
      </c>
      <c r="M45" s="80">
        <v>0</v>
      </c>
      <c r="N45" s="80">
        <v>0</v>
      </c>
      <c r="O45" s="80">
        <v>0</v>
      </c>
      <c r="P45" s="80">
        <v>0</v>
      </c>
      <c r="Q45" s="80">
        <v>0</v>
      </c>
      <c r="R45" s="80">
        <v>0</v>
      </c>
      <c r="S45" s="80">
        <v>0</v>
      </c>
      <c r="T45" s="80">
        <v>0</v>
      </c>
      <c r="U45" s="80">
        <v>0</v>
      </c>
      <c r="V45" s="80">
        <v>0</v>
      </c>
      <c r="W45" s="80">
        <v>0</v>
      </c>
      <c r="X45" s="80">
        <v>0</v>
      </c>
      <c r="Y45" s="80">
        <v>0</v>
      </c>
      <c r="Z45" s="269">
        <v>0</v>
      </c>
      <c r="AA45" s="269">
        <v>0</v>
      </c>
      <c r="AB45" s="269">
        <v>0</v>
      </c>
      <c r="AC45" s="269">
        <v>0</v>
      </c>
      <c r="AD45" s="238" t="s">
        <v>308</v>
      </c>
      <c r="AI45">
        <v>42</v>
      </c>
    </row>
    <row r="46" spans="2:35" ht="15" customHeight="1" x14ac:dyDescent="0.25">
      <c r="B46" s="223" t="s">
        <v>266</v>
      </c>
      <c r="C46" s="229">
        <f>HLOOKUP($C$4,$D$4:$BE$84,43,FALSE)</f>
        <v>791.38416666666603</v>
      </c>
      <c r="D46" s="226">
        <f t="shared" si="2"/>
        <v>689.87160670067794</v>
      </c>
      <c r="E46" s="226">
        <f t="shared" si="2"/>
        <v>892.89672655000004</v>
      </c>
      <c r="F46" s="80">
        <v>0</v>
      </c>
      <c r="G46" s="80">
        <v>0</v>
      </c>
      <c r="H46" s="80">
        <v>0</v>
      </c>
      <c r="I46" s="80">
        <v>338.66280736684899</v>
      </c>
      <c r="J46" s="80">
        <v>302.40691154781899</v>
      </c>
      <c r="K46" s="80">
        <v>374.91870318587797</v>
      </c>
      <c r="L46" s="80">
        <v>804.90065180102897</v>
      </c>
      <c r="M46" s="80">
        <v>745.04216758947405</v>
      </c>
      <c r="N46" s="80">
        <v>864.75913601258503</v>
      </c>
      <c r="O46" s="80">
        <v>1359.2081685641499</v>
      </c>
      <c r="P46" s="80">
        <v>1315.9842428551001</v>
      </c>
      <c r="Q46" s="80">
        <v>1402.4320942731999</v>
      </c>
      <c r="R46" s="80">
        <v>107.81148444937</v>
      </c>
      <c r="S46" s="80">
        <v>87.826731975378607</v>
      </c>
      <c r="T46" s="80">
        <v>127.796236923362</v>
      </c>
      <c r="U46" s="80">
        <v>791.38416666666603</v>
      </c>
      <c r="V46" s="80">
        <v>689.87160670067794</v>
      </c>
      <c r="W46" s="80">
        <v>892.89672655000004</v>
      </c>
      <c r="X46" s="272">
        <v>1392.5702204928666</v>
      </c>
      <c r="Y46" s="272">
        <v>1258.3349522821518</v>
      </c>
      <c r="Z46" s="274">
        <v>1526.8054887035814</v>
      </c>
      <c r="AA46" s="275">
        <v>107.91279597202539</v>
      </c>
      <c r="AB46" s="275">
        <v>87.957908680652679</v>
      </c>
      <c r="AC46" s="275">
        <v>127.86768326339811</v>
      </c>
      <c r="AD46" s="238" t="s">
        <v>308</v>
      </c>
      <c r="AI46">
        <v>43</v>
      </c>
    </row>
    <row r="47" spans="2:35" ht="15" customHeight="1" x14ac:dyDescent="0.25">
      <c r="B47" s="223" t="s">
        <v>267</v>
      </c>
      <c r="C47" s="229">
        <f>HLOOKUP($C$4,$D$4:$BE$84,44,FALSE)</f>
        <v>0</v>
      </c>
      <c r="D47" s="226">
        <f t="shared" si="2"/>
        <v>0</v>
      </c>
      <c r="E47" s="226">
        <f t="shared" si="2"/>
        <v>0</v>
      </c>
      <c r="F47" s="80">
        <v>0</v>
      </c>
      <c r="G47" s="80">
        <v>0</v>
      </c>
      <c r="H47" s="80">
        <v>0</v>
      </c>
      <c r="I47" s="80">
        <v>0</v>
      </c>
      <c r="J47" s="80">
        <v>0</v>
      </c>
      <c r="K47" s="80">
        <v>0</v>
      </c>
      <c r="L47" s="80">
        <v>0</v>
      </c>
      <c r="M47" s="80">
        <v>0</v>
      </c>
      <c r="N47" s="80">
        <v>0</v>
      </c>
      <c r="O47" s="80">
        <v>0</v>
      </c>
      <c r="P47" s="80">
        <v>0</v>
      </c>
      <c r="Q47" s="80">
        <v>0</v>
      </c>
      <c r="R47" s="80">
        <v>0</v>
      </c>
      <c r="S47" s="80">
        <v>0</v>
      </c>
      <c r="T47" s="80">
        <v>0</v>
      </c>
      <c r="U47" s="80">
        <v>0</v>
      </c>
      <c r="V47" s="80">
        <v>0</v>
      </c>
      <c r="W47" s="80">
        <v>0</v>
      </c>
      <c r="X47" s="80">
        <v>0</v>
      </c>
      <c r="Y47" s="80">
        <v>0</v>
      </c>
      <c r="Z47" s="269">
        <v>0</v>
      </c>
      <c r="AA47" s="269">
        <v>0</v>
      </c>
      <c r="AB47" s="269">
        <v>0</v>
      </c>
      <c r="AC47" s="269">
        <v>0</v>
      </c>
      <c r="AD47" s="238" t="s">
        <v>308</v>
      </c>
      <c r="AI47">
        <v>44</v>
      </c>
    </row>
    <row r="48" spans="2:35" ht="15" customHeight="1" x14ac:dyDescent="0.25">
      <c r="B48" s="223" t="s">
        <v>268</v>
      </c>
      <c r="C48" s="229">
        <f>HLOOKUP($C$4,$D$4:$BE$84,45,FALSE)</f>
        <v>0</v>
      </c>
      <c r="D48" s="226">
        <f t="shared" si="2"/>
        <v>0</v>
      </c>
      <c r="E48" s="226">
        <f t="shared" si="2"/>
        <v>0</v>
      </c>
      <c r="F48" s="80">
        <v>0</v>
      </c>
      <c r="G48" s="80">
        <v>0</v>
      </c>
      <c r="H48" s="80">
        <v>0</v>
      </c>
      <c r="I48" s="80">
        <v>0</v>
      </c>
      <c r="J48" s="80">
        <v>0</v>
      </c>
      <c r="K48" s="80">
        <v>0</v>
      </c>
      <c r="L48" s="80">
        <v>0</v>
      </c>
      <c r="M48" s="80">
        <v>0</v>
      </c>
      <c r="N48" s="80">
        <v>0</v>
      </c>
      <c r="O48" s="80">
        <v>0</v>
      </c>
      <c r="P48" s="80">
        <v>0</v>
      </c>
      <c r="Q48" s="80">
        <v>0</v>
      </c>
      <c r="R48" s="80">
        <v>0</v>
      </c>
      <c r="S48" s="80">
        <v>0</v>
      </c>
      <c r="T48" s="80">
        <v>0</v>
      </c>
      <c r="U48" s="80">
        <v>0</v>
      </c>
      <c r="V48" s="80">
        <v>0</v>
      </c>
      <c r="W48" s="80">
        <v>0</v>
      </c>
      <c r="X48" s="80">
        <v>0</v>
      </c>
      <c r="Y48" s="80">
        <v>0</v>
      </c>
      <c r="Z48" s="269">
        <v>0</v>
      </c>
      <c r="AA48" s="269">
        <v>0</v>
      </c>
      <c r="AB48" s="269">
        <v>0</v>
      </c>
      <c r="AC48" s="269">
        <v>0</v>
      </c>
      <c r="AD48" s="238" t="s">
        <v>308</v>
      </c>
      <c r="AI48">
        <v>45</v>
      </c>
    </row>
    <row r="49" spans="2:35" ht="15" customHeight="1" x14ac:dyDescent="0.25">
      <c r="B49" s="223" t="s">
        <v>269</v>
      </c>
      <c r="C49" s="229">
        <f>HLOOKUP($C$4,$D$4:$BE$84,46,FALSE)</f>
        <v>0</v>
      </c>
      <c r="D49" s="226">
        <f t="shared" si="2"/>
        <v>0</v>
      </c>
      <c r="E49" s="226">
        <f t="shared" si="2"/>
        <v>0</v>
      </c>
      <c r="F49" s="80">
        <v>77.169696969696901</v>
      </c>
      <c r="G49" s="80">
        <v>67.399122222695595</v>
      </c>
      <c r="H49" s="80">
        <v>86.940271716698405</v>
      </c>
      <c r="I49" s="80">
        <v>0</v>
      </c>
      <c r="J49" s="80">
        <v>0</v>
      </c>
      <c r="K49" s="80">
        <v>0</v>
      </c>
      <c r="L49" s="80">
        <v>0</v>
      </c>
      <c r="M49" s="80">
        <v>0</v>
      </c>
      <c r="N49" s="80">
        <v>0</v>
      </c>
      <c r="O49" s="80">
        <v>0</v>
      </c>
      <c r="P49" s="80">
        <v>0</v>
      </c>
      <c r="Q49" s="80">
        <v>0</v>
      </c>
      <c r="R49" s="80">
        <v>0</v>
      </c>
      <c r="S49" s="80">
        <v>0</v>
      </c>
      <c r="T49" s="80">
        <v>0</v>
      </c>
      <c r="U49" s="80">
        <v>0</v>
      </c>
      <c r="V49" s="80">
        <v>0</v>
      </c>
      <c r="W49" s="80">
        <v>0</v>
      </c>
      <c r="X49" s="80">
        <v>0</v>
      </c>
      <c r="Y49" s="80">
        <v>0</v>
      </c>
      <c r="Z49" s="269">
        <v>0</v>
      </c>
      <c r="AA49" s="269">
        <v>0</v>
      </c>
      <c r="AB49" s="269">
        <v>0</v>
      </c>
      <c r="AC49" s="269">
        <v>0</v>
      </c>
      <c r="AD49" s="238" t="s">
        <v>308</v>
      </c>
      <c r="AI49">
        <v>46</v>
      </c>
    </row>
    <row r="50" spans="2:35" ht="15" customHeight="1" x14ac:dyDescent="0.25">
      <c r="B50" s="223" t="s">
        <v>270</v>
      </c>
      <c r="C50" s="229">
        <f>HLOOKUP($C$4,$D$4:$BE$84,47,FALSE)</f>
        <v>0</v>
      </c>
      <c r="D50" s="226">
        <f t="shared" si="2"/>
        <v>0</v>
      </c>
      <c r="E50" s="226">
        <f t="shared" si="2"/>
        <v>0</v>
      </c>
      <c r="F50" s="80">
        <v>0</v>
      </c>
      <c r="G50" s="80">
        <v>0</v>
      </c>
      <c r="H50" s="80">
        <v>0</v>
      </c>
      <c r="I50" s="80">
        <v>0</v>
      </c>
      <c r="J50" s="80">
        <v>0</v>
      </c>
      <c r="K50" s="80">
        <v>0</v>
      </c>
      <c r="L50" s="80">
        <v>0</v>
      </c>
      <c r="M50" s="80">
        <v>0</v>
      </c>
      <c r="N50" s="80">
        <v>0</v>
      </c>
      <c r="O50" s="80">
        <v>0</v>
      </c>
      <c r="P50" s="80">
        <v>0</v>
      </c>
      <c r="Q50" s="80">
        <v>0</v>
      </c>
      <c r="R50" s="80">
        <v>0</v>
      </c>
      <c r="S50" s="80">
        <v>0</v>
      </c>
      <c r="T50" s="80">
        <v>0</v>
      </c>
      <c r="U50" s="80">
        <v>0</v>
      </c>
      <c r="V50" s="80">
        <v>0</v>
      </c>
      <c r="W50" s="80">
        <v>0</v>
      </c>
      <c r="X50" s="80">
        <v>0</v>
      </c>
      <c r="Y50" s="80">
        <v>0</v>
      </c>
      <c r="Z50" s="269">
        <v>0</v>
      </c>
      <c r="AA50" s="269">
        <v>0</v>
      </c>
      <c r="AB50" s="269">
        <v>0</v>
      </c>
      <c r="AC50" s="269">
        <v>0</v>
      </c>
      <c r="AD50" s="238" t="s">
        <v>308</v>
      </c>
      <c r="AI50">
        <v>47</v>
      </c>
    </row>
    <row r="51" spans="2:35" ht="15" customHeight="1" x14ac:dyDescent="0.25">
      <c r="B51" s="223" t="s">
        <v>271</v>
      </c>
      <c r="C51" s="229">
        <f>HLOOKUP($C$4,$D$4:$BE$84,48,FALSE)</f>
        <v>0</v>
      </c>
      <c r="D51" s="226">
        <f t="shared" si="2"/>
        <v>0</v>
      </c>
      <c r="E51" s="226">
        <f t="shared" si="2"/>
        <v>0</v>
      </c>
      <c r="F51" s="80">
        <v>448.26666666667001</v>
      </c>
      <c r="G51" s="80">
        <v>258.20746500832797</v>
      </c>
      <c r="H51" s="80">
        <v>638.32586832500499</v>
      </c>
      <c r="I51" s="80">
        <v>0</v>
      </c>
      <c r="J51" s="80">
        <v>0</v>
      </c>
      <c r="K51" s="80">
        <v>0</v>
      </c>
      <c r="L51" s="80">
        <v>0</v>
      </c>
      <c r="M51" s="80">
        <v>0</v>
      </c>
      <c r="N51" s="80">
        <v>0</v>
      </c>
      <c r="O51" s="80">
        <v>0</v>
      </c>
      <c r="P51" s="80">
        <v>0</v>
      </c>
      <c r="Q51" s="80">
        <v>0</v>
      </c>
      <c r="R51" s="80">
        <v>0</v>
      </c>
      <c r="S51" s="80">
        <v>0</v>
      </c>
      <c r="T51" s="80">
        <v>0</v>
      </c>
      <c r="U51" s="80">
        <v>0</v>
      </c>
      <c r="V51" s="80">
        <v>0</v>
      </c>
      <c r="W51" s="80">
        <v>0</v>
      </c>
      <c r="X51" s="80">
        <v>0</v>
      </c>
      <c r="Y51" s="80">
        <v>0</v>
      </c>
      <c r="Z51" s="269">
        <v>0</v>
      </c>
      <c r="AA51" s="269">
        <v>0</v>
      </c>
      <c r="AB51" s="269">
        <v>0</v>
      </c>
      <c r="AC51" s="269">
        <v>0</v>
      </c>
      <c r="AD51" s="238" t="s">
        <v>308</v>
      </c>
      <c r="AI51">
        <v>48</v>
      </c>
    </row>
    <row r="52" spans="2:35" ht="15" customHeight="1" x14ac:dyDescent="0.25">
      <c r="B52" s="223" t="s">
        <v>272</v>
      </c>
      <c r="C52" s="229">
        <f>HLOOKUP($C$4,$D$4:$BE$84,49,FALSE)</f>
        <v>0</v>
      </c>
      <c r="D52" s="226">
        <f t="shared" si="2"/>
        <v>0</v>
      </c>
      <c r="E52" s="226">
        <f t="shared" si="2"/>
        <v>0</v>
      </c>
      <c r="F52" s="80">
        <v>0</v>
      </c>
      <c r="G52" s="80">
        <v>0</v>
      </c>
      <c r="H52" s="80">
        <v>0</v>
      </c>
      <c r="I52" s="80">
        <v>0</v>
      </c>
      <c r="J52" s="80">
        <v>0</v>
      </c>
      <c r="K52" s="80">
        <v>0</v>
      </c>
      <c r="L52" s="80">
        <v>0</v>
      </c>
      <c r="M52" s="80">
        <v>0</v>
      </c>
      <c r="N52" s="80">
        <v>0</v>
      </c>
      <c r="O52" s="80">
        <v>0</v>
      </c>
      <c r="P52" s="80">
        <v>0</v>
      </c>
      <c r="Q52" s="80">
        <v>0</v>
      </c>
      <c r="R52" s="80">
        <v>0</v>
      </c>
      <c r="S52" s="80">
        <v>0</v>
      </c>
      <c r="T52" s="80">
        <v>0</v>
      </c>
      <c r="U52" s="80">
        <v>0</v>
      </c>
      <c r="V52" s="80">
        <v>0</v>
      </c>
      <c r="W52" s="80">
        <v>0</v>
      </c>
      <c r="X52" s="80">
        <v>0</v>
      </c>
      <c r="Y52" s="80">
        <v>0</v>
      </c>
      <c r="Z52" s="269">
        <v>0</v>
      </c>
      <c r="AA52" s="269">
        <v>0</v>
      </c>
      <c r="AB52" s="269">
        <v>0</v>
      </c>
      <c r="AC52" s="269">
        <v>0</v>
      </c>
      <c r="AD52" s="238" t="s">
        <v>308</v>
      </c>
      <c r="AI52">
        <v>49</v>
      </c>
    </row>
    <row r="53" spans="2:35" ht="15" customHeight="1" x14ac:dyDescent="0.25">
      <c r="B53" s="223" t="s">
        <v>273</v>
      </c>
      <c r="C53" s="229">
        <f>HLOOKUP($C$4,$D$4:$BE$84,50,FALSE)</f>
        <v>0</v>
      </c>
      <c r="D53" s="226">
        <f t="shared" si="2"/>
        <v>0</v>
      </c>
      <c r="E53" s="226">
        <f t="shared" si="2"/>
        <v>0</v>
      </c>
      <c r="F53" s="80">
        <v>0</v>
      </c>
      <c r="G53" s="80">
        <v>0</v>
      </c>
      <c r="H53" s="80">
        <v>0</v>
      </c>
      <c r="I53" s="80">
        <v>0</v>
      </c>
      <c r="J53" s="80">
        <v>0</v>
      </c>
      <c r="K53" s="80">
        <v>0</v>
      </c>
      <c r="L53" s="80">
        <v>0</v>
      </c>
      <c r="M53" s="80">
        <v>0</v>
      </c>
      <c r="N53" s="80">
        <v>0</v>
      </c>
      <c r="O53" s="80">
        <v>0</v>
      </c>
      <c r="P53" s="80">
        <v>0</v>
      </c>
      <c r="Q53" s="80">
        <v>0</v>
      </c>
      <c r="R53" s="80">
        <v>0</v>
      </c>
      <c r="S53" s="80">
        <v>0</v>
      </c>
      <c r="T53" s="80">
        <v>0</v>
      </c>
      <c r="U53" s="80">
        <v>0</v>
      </c>
      <c r="V53" s="80">
        <v>0</v>
      </c>
      <c r="W53" s="80">
        <v>0</v>
      </c>
      <c r="X53" s="80">
        <v>0</v>
      </c>
      <c r="Y53" s="80">
        <v>0</v>
      </c>
      <c r="Z53" s="269">
        <v>0</v>
      </c>
      <c r="AA53" s="269">
        <v>0</v>
      </c>
      <c r="AB53" s="269">
        <v>0</v>
      </c>
      <c r="AC53" s="269">
        <v>0</v>
      </c>
      <c r="AD53" s="238" t="s">
        <v>308</v>
      </c>
      <c r="AI53">
        <v>50</v>
      </c>
    </row>
    <row r="54" spans="2:35" ht="15" customHeight="1" x14ac:dyDescent="0.25">
      <c r="B54" s="223" t="s">
        <v>274</v>
      </c>
      <c r="C54" s="229">
        <f>HLOOKUP($C$4,$D$4:$BE$84,51,FALSE)</f>
        <v>0</v>
      </c>
      <c r="D54" s="226">
        <f t="shared" si="2"/>
        <v>0</v>
      </c>
      <c r="E54" s="226">
        <f t="shared" si="2"/>
        <v>0</v>
      </c>
      <c r="F54" s="80">
        <v>0.6333333333333</v>
      </c>
      <c r="G54" s="80">
        <v>0.468300791733406</v>
      </c>
      <c r="H54" s="80">
        <v>0.79836587493326105</v>
      </c>
      <c r="I54" s="80">
        <v>0</v>
      </c>
      <c r="J54" s="80">
        <v>0</v>
      </c>
      <c r="K54" s="80">
        <v>0</v>
      </c>
      <c r="L54" s="80">
        <v>0</v>
      </c>
      <c r="M54" s="80">
        <v>0</v>
      </c>
      <c r="N54" s="80">
        <v>0</v>
      </c>
      <c r="O54" s="80">
        <v>0</v>
      </c>
      <c r="P54" s="80">
        <v>0</v>
      </c>
      <c r="Q54" s="80">
        <v>0</v>
      </c>
      <c r="R54" s="80">
        <v>0</v>
      </c>
      <c r="S54" s="80">
        <v>0</v>
      </c>
      <c r="T54" s="80">
        <v>0</v>
      </c>
      <c r="U54" s="80">
        <v>0</v>
      </c>
      <c r="V54" s="80">
        <v>0</v>
      </c>
      <c r="W54" s="80">
        <v>0</v>
      </c>
      <c r="X54" s="80">
        <v>0</v>
      </c>
      <c r="Y54" s="80">
        <v>0</v>
      </c>
      <c r="Z54" s="269">
        <v>0</v>
      </c>
      <c r="AA54" s="269">
        <v>0</v>
      </c>
      <c r="AB54" s="269">
        <v>0</v>
      </c>
      <c r="AC54" s="269">
        <v>0</v>
      </c>
      <c r="AD54" s="238" t="s">
        <v>308</v>
      </c>
      <c r="AI54">
        <v>51</v>
      </c>
    </row>
    <row r="55" spans="2:35" ht="15" customHeight="1" x14ac:dyDescent="0.25">
      <c r="B55" s="223" t="s">
        <v>275</v>
      </c>
      <c r="C55" s="229">
        <f>HLOOKUP($C$4,$D$4:$BE$84,52,FALSE)</f>
        <v>0</v>
      </c>
      <c r="D55" s="226">
        <f t="shared" si="2"/>
        <v>0</v>
      </c>
      <c r="E55" s="226">
        <f t="shared" si="2"/>
        <v>0</v>
      </c>
      <c r="F55" s="80">
        <v>468.5</v>
      </c>
      <c r="G55" s="80">
        <v>409.53078723016199</v>
      </c>
      <c r="H55" s="80">
        <v>527.46921280000004</v>
      </c>
      <c r="I55" s="80">
        <v>0</v>
      </c>
      <c r="J55" s="80">
        <v>0</v>
      </c>
      <c r="K55" s="80">
        <v>0</v>
      </c>
      <c r="L55" s="80">
        <v>0</v>
      </c>
      <c r="M55" s="80">
        <v>0</v>
      </c>
      <c r="N55" s="80">
        <v>0</v>
      </c>
      <c r="O55" s="80">
        <v>0</v>
      </c>
      <c r="P55" s="80">
        <v>0</v>
      </c>
      <c r="Q55" s="80">
        <v>0</v>
      </c>
      <c r="R55" s="80">
        <v>0</v>
      </c>
      <c r="S55" s="80">
        <v>0</v>
      </c>
      <c r="T55" s="80">
        <v>0</v>
      </c>
      <c r="U55" s="80">
        <v>0</v>
      </c>
      <c r="V55" s="80">
        <v>0</v>
      </c>
      <c r="W55" s="80">
        <v>0</v>
      </c>
      <c r="X55" s="80">
        <v>0</v>
      </c>
      <c r="Y55" s="80">
        <v>0</v>
      </c>
      <c r="Z55" s="269">
        <v>0</v>
      </c>
      <c r="AA55" s="269">
        <v>0</v>
      </c>
      <c r="AB55" s="269">
        <v>0</v>
      </c>
      <c r="AC55" s="269">
        <v>0</v>
      </c>
      <c r="AD55" s="238" t="s">
        <v>308</v>
      </c>
      <c r="AI55">
        <v>52</v>
      </c>
    </row>
    <row r="56" spans="2:35" ht="15" customHeight="1" x14ac:dyDescent="0.25">
      <c r="B56" s="223" t="s">
        <v>276</v>
      </c>
      <c r="C56" s="229">
        <f>HLOOKUP($C$4,$D$4:$BE$84,53,FALSE)</f>
        <v>0</v>
      </c>
      <c r="D56" s="226">
        <f t="shared" si="2"/>
        <v>0</v>
      </c>
      <c r="E56" s="226">
        <f t="shared" si="2"/>
        <v>0</v>
      </c>
      <c r="F56" s="80">
        <v>0</v>
      </c>
      <c r="G56" s="80">
        <v>0</v>
      </c>
      <c r="H56" s="80">
        <v>0</v>
      </c>
      <c r="I56" s="80">
        <v>0</v>
      </c>
      <c r="J56" s="80">
        <v>0</v>
      </c>
      <c r="K56" s="80">
        <v>0</v>
      </c>
      <c r="L56" s="80">
        <v>0</v>
      </c>
      <c r="M56" s="80">
        <v>0</v>
      </c>
      <c r="N56" s="80">
        <v>0</v>
      </c>
      <c r="O56" s="80">
        <v>0</v>
      </c>
      <c r="P56" s="80">
        <v>0</v>
      </c>
      <c r="Q56" s="80">
        <v>0</v>
      </c>
      <c r="R56" s="80">
        <v>0</v>
      </c>
      <c r="S56" s="80">
        <v>0</v>
      </c>
      <c r="T56" s="80">
        <v>0</v>
      </c>
      <c r="U56" s="80">
        <v>0</v>
      </c>
      <c r="V56" s="80">
        <v>0</v>
      </c>
      <c r="W56" s="80">
        <v>0</v>
      </c>
      <c r="X56" s="80">
        <v>0</v>
      </c>
      <c r="Y56" s="80">
        <v>0</v>
      </c>
      <c r="Z56" s="269">
        <v>0</v>
      </c>
      <c r="AA56" s="269">
        <v>0</v>
      </c>
      <c r="AB56" s="269">
        <v>0</v>
      </c>
      <c r="AC56" s="269">
        <v>0</v>
      </c>
      <c r="AD56" s="238" t="s">
        <v>308</v>
      </c>
      <c r="AI56">
        <v>53</v>
      </c>
    </row>
    <row r="57" spans="2:35" ht="15" customHeight="1" x14ac:dyDescent="0.25">
      <c r="B57" s="223" t="s">
        <v>277</v>
      </c>
      <c r="C57" s="229">
        <f>HLOOKUP($C$4,$D$4:$BE$84,54,FALSE)</f>
        <v>0</v>
      </c>
      <c r="D57" s="226">
        <f t="shared" si="2"/>
        <v>0</v>
      </c>
      <c r="E57" s="226">
        <f t="shared" si="2"/>
        <v>0</v>
      </c>
      <c r="F57" s="80">
        <v>0</v>
      </c>
      <c r="G57" s="80">
        <v>0</v>
      </c>
      <c r="H57" s="80">
        <v>0</v>
      </c>
      <c r="I57" s="80">
        <v>0</v>
      </c>
      <c r="J57" s="80">
        <v>0</v>
      </c>
      <c r="K57" s="80">
        <v>0</v>
      </c>
      <c r="L57" s="80">
        <v>0</v>
      </c>
      <c r="M57" s="80">
        <v>0</v>
      </c>
      <c r="N57" s="80">
        <v>0</v>
      </c>
      <c r="O57" s="80">
        <v>0</v>
      </c>
      <c r="P57" s="80">
        <v>0</v>
      </c>
      <c r="Q57" s="80">
        <v>0</v>
      </c>
      <c r="R57" s="80">
        <v>0</v>
      </c>
      <c r="S57" s="80">
        <v>0</v>
      </c>
      <c r="T57" s="80">
        <v>0</v>
      </c>
      <c r="U57" s="80">
        <v>0</v>
      </c>
      <c r="V57" s="80">
        <v>0</v>
      </c>
      <c r="W57" s="80">
        <v>0</v>
      </c>
      <c r="X57" s="80">
        <v>0</v>
      </c>
      <c r="Y57" s="80">
        <v>0</v>
      </c>
      <c r="Z57" s="269">
        <v>0</v>
      </c>
      <c r="AA57" s="269">
        <v>0</v>
      </c>
      <c r="AB57" s="269">
        <v>0</v>
      </c>
      <c r="AC57" s="269">
        <v>0</v>
      </c>
      <c r="AD57" s="238" t="s">
        <v>308</v>
      </c>
      <c r="AI57">
        <v>54</v>
      </c>
    </row>
    <row r="58" spans="2:35" ht="15" customHeight="1" x14ac:dyDescent="0.25">
      <c r="B58" s="223" t="s">
        <v>278</v>
      </c>
      <c r="C58" s="229">
        <f>HLOOKUP($C$4,$D$4:$BE$84,55,FALSE)</f>
        <v>0</v>
      </c>
      <c r="D58" s="226">
        <f t="shared" si="2"/>
        <v>0</v>
      </c>
      <c r="E58" s="226">
        <f t="shared" si="2"/>
        <v>0</v>
      </c>
      <c r="F58" s="80">
        <v>0</v>
      </c>
      <c r="G58" s="80">
        <v>0</v>
      </c>
      <c r="H58" s="80">
        <v>0</v>
      </c>
      <c r="I58" s="80">
        <v>0</v>
      </c>
      <c r="J58" s="80">
        <v>0</v>
      </c>
      <c r="K58" s="80">
        <v>0</v>
      </c>
      <c r="L58" s="80">
        <v>0</v>
      </c>
      <c r="M58" s="80">
        <v>0</v>
      </c>
      <c r="N58" s="80">
        <v>0</v>
      </c>
      <c r="O58" s="80">
        <v>0</v>
      </c>
      <c r="P58" s="80">
        <v>0</v>
      </c>
      <c r="Q58" s="80">
        <v>0</v>
      </c>
      <c r="R58" s="80">
        <v>0</v>
      </c>
      <c r="S58" s="80">
        <v>0</v>
      </c>
      <c r="T58" s="80">
        <v>0</v>
      </c>
      <c r="U58" s="80">
        <v>0</v>
      </c>
      <c r="V58" s="80">
        <v>0</v>
      </c>
      <c r="W58" s="80">
        <v>0</v>
      </c>
      <c r="X58" s="80">
        <v>0</v>
      </c>
      <c r="Y58" s="80">
        <v>0</v>
      </c>
      <c r="Z58" s="269">
        <v>0</v>
      </c>
      <c r="AA58" s="269">
        <v>0</v>
      </c>
      <c r="AB58" s="269">
        <v>0</v>
      </c>
      <c r="AC58" s="269">
        <v>0</v>
      </c>
      <c r="AD58" s="238" t="s">
        <v>308</v>
      </c>
      <c r="AI58">
        <v>55</v>
      </c>
    </row>
    <row r="59" spans="2:35" ht="15" customHeight="1" x14ac:dyDescent="0.25">
      <c r="B59" s="223" t="s">
        <v>279</v>
      </c>
      <c r="C59" s="229">
        <f>HLOOKUP($C$4,$D$4:$BE$84,56,FALSE)</f>
        <v>0</v>
      </c>
      <c r="D59" s="226">
        <f t="shared" si="2"/>
        <v>0</v>
      </c>
      <c r="E59" s="226">
        <f t="shared" si="2"/>
        <v>0</v>
      </c>
      <c r="F59" s="80">
        <v>0</v>
      </c>
      <c r="G59" s="80">
        <v>0</v>
      </c>
      <c r="H59" s="80">
        <v>0</v>
      </c>
      <c r="I59" s="80">
        <v>0</v>
      </c>
      <c r="J59" s="80">
        <v>0</v>
      </c>
      <c r="K59" s="80">
        <v>0</v>
      </c>
      <c r="L59" s="80">
        <v>0</v>
      </c>
      <c r="M59" s="80">
        <v>0</v>
      </c>
      <c r="N59" s="80">
        <v>0</v>
      </c>
      <c r="O59" s="80">
        <v>0</v>
      </c>
      <c r="P59" s="80">
        <v>0</v>
      </c>
      <c r="Q59" s="80">
        <v>0</v>
      </c>
      <c r="R59" s="80">
        <v>0</v>
      </c>
      <c r="S59" s="80">
        <v>0</v>
      </c>
      <c r="T59" s="80">
        <v>0</v>
      </c>
      <c r="U59" s="80">
        <v>0</v>
      </c>
      <c r="V59" s="80">
        <v>0</v>
      </c>
      <c r="W59" s="80">
        <v>0</v>
      </c>
      <c r="X59" s="80">
        <v>0</v>
      </c>
      <c r="Y59" s="80">
        <v>0</v>
      </c>
      <c r="Z59" s="269">
        <v>0</v>
      </c>
      <c r="AA59" s="269">
        <v>0</v>
      </c>
      <c r="AB59" s="269">
        <v>0</v>
      </c>
      <c r="AC59" s="269">
        <v>0</v>
      </c>
      <c r="AD59" s="238" t="s">
        <v>308</v>
      </c>
      <c r="AI59">
        <v>56</v>
      </c>
    </row>
    <row r="60" spans="2:35" ht="15" customHeight="1" x14ac:dyDescent="0.25">
      <c r="B60" s="223" t="s">
        <v>280</v>
      </c>
      <c r="C60" s="229">
        <f>HLOOKUP($C$4,$D$4:$BE$84,57,FALSE)</f>
        <v>0</v>
      </c>
      <c r="D60" s="226">
        <f t="shared" si="2"/>
        <v>0</v>
      </c>
      <c r="E60" s="226">
        <f t="shared" si="2"/>
        <v>0</v>
      </c>
      <c r="F60" s="80">
        <v>0.70778678571428599</v>
      </c>
      <c r="G60" s="80">
        <v>0.70712886478875203</v>
      </c>
      <c r="H60" s="80">
        <v>0.70844470663981995</v>
      </c>
      <c r="I60" s="80">
        <v>0</v>
      </c>
      <c r="J60" s="80">
        <v>0</v>
      </c>
      <c r="K60" s="80">
        <v>0</v>
      </c>
      <c r="L60" s="80">
        <v>0</v>
      </c>
      <c r="M60" s="80">
        <v>0</v>
      </c>
      <c r="N60" s="80">
        <v>0</v>
      </c>
      <c r="O60" s="80">
        <v>0</v>
      </c>
      <c r="P60" s="80">
        <v>0</v>
      </c>
      <c r="Q60" s="80">
        <v>0</v>
      </c>
      <c r="R60" s="80">
        <v>0</v>
      </c>
      <c r="S60" s="80">
        <v>0</v>
      </c>
      <c r="T60" s="80">
        <v>0</v>
      </c>
      <c r="U60" s="80">
        <v>0</v>
      </c>
      <c r="V60" s="80">
        <v>0</v>
      </c>
      <c r="W60" s="80">
        <v>0</v>
      </c>
      <c r="X60" s="80">
        <v>0</v>
      </c>
      <c r="Y60" s="80">
        <v>0</v>
      </c>
      <c r="Z60" s="269">
        <v>0</v>
      </c>
      <c r="AA60" s="269">
        <v>0</v>
      </c>
      <c r="AB60" s="269">
        <v>0</v>
      </c>
      <c r="AC60" s="269">
        <v>0</v>
      </c>
      <c r="AD60" s="238" t="s">
        <v>308</v>
      </c>
      <c r="AI60">
        <v>57</v>
      </c>
    </row>
    <row r="61" spans="2:35" ht="15" customHeight="1" x14ac:dyDescent="0.25">
      <c r="B61" s="223" t="s">
        <v>281</v>
      </c>
      <c r="C61" s="229">
        <f>HLOOKUP($C$4,$D$4:$BE$84,58,FALSE)</f>
        <v>0</v>
      </c>
      <c r="D61" s="226">
        <f t="shared" si="2"/>
        <v>0</v>
      </c>
      <c r="E61" s="226">
        <f t="shared" si="2"/>
        <v>0</v>
      </c>
      <c r="F61" s="80">
        <v>0</v>
      </c>
      <c r="G61" s="80">
        <v>0</v>
      </c>
      <c r="H61" s="80">
        <v>0</v>
      </c>
      <c r="I61" s="80">
        <v>0</v>
      </c>
      <c r="J61" s="80">
        <v>0</v>
      </c>
      <c r="K61" s="80">
        <v>0</v>
      </c>
      <c r="L61" s="80">
        <v>0</v>
      </c>
      <c r="M61" s="80">
        <v>0</v>
      </c>
      <c r="N61" s="80">
        <v>0</v>
      </c>
      <c r="O61" s="80">
        <v>0</v>
      </c>
      <c r="P61" s="80">
        <v>0</v>
      </c>
      <c r="Q61" s="80">
        <v>0</v>
      </c>
      <c r="R61" s="80">
        <v>0</v>
      </c>
      <c r="S61" s="80">
        <v>0</v>
      </c>
      <c r="T61" s="80">
        <v>0</v>
      </c>
      <c r="U61" s="80">
        <v>0</v>
      </c>
      <c r="V61" s="80">
        <v>0</v>
      </c>
      <c r="W61" s="80">
        <v>0</v>
      </c>
      <c r="X61" s="80">
        <v>0</v>
      </c>
      <c r="Y61" s="80">
        <v>0</v>
      </c>
      <c r="Z61" s="269">
        <v>0</v>
      </c>
      <c r="AA61" s="269">
        <v>0</v>
      </c>
      <c r="AB61" s="269">
        <v>0</v>
      </c>
      <c r="AC61" s="269">
        <v>0</v>
      </c>
      <c r="AD61" s="238" t="s">
        <v>308</v>
      </c>
      <c r="AI61">
        <v>58</v>
      </c>
    </row>
    <row r="62" spans="2:35" ht="15" customHeight="1" x14ac:dyDescent="0.25">
      <c r="B62" s="223" t="s">
        <v>282</v>
      </c>
      <c r="C62" s="229">
        <f>HLOOKUP($C$4,$D$4:$BE$84,59,FALSE)</f>
        <v>0</v>
      </c>
      <c r="D62" s="226">
        <f t="shared" si="2"/>
        <v>0</v>
      </c>
      <c r="E62" s="226">
        <f t="shared" si="2"/>
        <v>0</v>
      </c>
      <c r="F62" s="80">
        <v>0</v>
      </c>
      <c r="G62" s="80">
        <v>0</v>
      </c>
      <c r="H62" s="80">
        <v>0</v>
      </c>
      <c r="I62" s="80">
        <v>0</v>
      </c>
      <c r="J62" s="80">
        <v>0</v>
      </c>
      <c r="K62" s="80">
        <v>0</v>
      </c>
      <c r="L62" s="80">
        <v>0</v>
      </c>
      <c r="M62" s="80">
        <v>0</v>
      </c>
      <c r="N62" s="80">
        <v>0</v>
      </c>
      <c r="O62" s="80">
        <v>0</v>
      </c>
      <c r="P62" s="80">
        <v>0</v>
      </c>
      <c r="Q62" s="80">
        <v>0</v>
      </c>
      <c r="R62" s="80">
        <v>0</v>
      </c>
      <c r="S62" s="80">
        <v>0</v>
      </c>
      <c r="T62" s="80">
        <v>0</v>
      </c>
      <c r="U62" s="80">
        <v>0</v>
      </c>
      <c r="V62" s="80">
        <v>0</v>
      </c>
      <c r="W62" s="80">
        <v>0</v>
      </c>
      <c r="X62" s="80">
        <v>0</v>
      </c>
      <c r="Y62" s="80">
        <v>0</v>
      </c>
      <c r="Z62" s="269">
        <v>0</v>
      </c>
      <c r="AA62" s="269">
        <v>0</v>
      </c>
      <c r="AB62" s="269">
        <v>0</v>
      </c>
      <c r="AC62" s="269">
        <v>0</v>
      </c>
      <c r="AD62" s="238" t="s">
        <v>308</v>
      </c>
      <c r="AI62">
        <v>59</v>
      </c>
    </row>
    <row r="63" spans="2:35" ht="15" customHeight="1" x14ac:dyDescent="0.25">
      <c r="B63" s="223" t="s">
        <v>324</v>
      </c>
      <c r="C63" s="229">
        <f>HLOOKUP($C$4,$D$4:$BE$84,60,FALSE)</f>
        <v>0</v>
      </c>
      <c r="D63" s="226">
        <f t="shared" si="2"/>
        <v>0</v>
      </c>
      <c r="E63" s="226">
        <f t="shared" si="2"/>
        <v>0</v>
      </c>
      <c r="F63" s="80">
        <v>0</v>
      </c>
      <c r="G63" s="80">
        <v>0</v>
      </c>
      <c r="H63" s="80">
        <v>0</v>
      </c>
      <c r="I63" s="80">
        <v>0</v>
      </c>
      <c r="J63" s="80">
        <v>0</v>
      </c>
      <c r="K63" s="80">
        <v>0</v>
      </c>
      <c r="L63" s="80">
        <v>0</v>
      </c>
      <c r="M63" s="80">
        <v>0</v>
      </c>
      <c r="N63" s="80">
        <v>0</v>
      </c>
      <c r="O63" s="80">
        <v>0</v>
      </c>
      <c r="P63" s="80">
        <v>0</v>
      </c>
      <c r="Q63" s="80">
        <v>0</v>
      </c>
      <c r="R63" s="80">
        <v>0</v>
      </c>
      <c r="S63" s="80">
        <v>0</v>
      </c>
      <c r="T63" s="80">
        <v>0</v>
      </c>
      <c r="U63" s="80">
        <v>0</v>
      </c>
      <c r="V63" s="80">
        <v>0</v>
      </c>
      <c r="W63" s="80">
        <v>0</v>
      </c>
      <c r="X63" s="272">
        <v>0</v>
      </c>
      <c r="Y63" s="272">
        <v>0</v>
      </c>
      <c r="Z63" s="274">
        <v>0</v>
      </c>
      <c r="AA63" s="274">
        <v>0</v>
      </c>
      <c r="AB63" s="274">
        <v>0</v>
      </c>
      <c r="AC63" s="274">
        <v>0</v>
      </c>
      <c r="AD63" s="238" t="s">
        <v>308</v>
      </c>
      <c r="AI63">
        <v>60</v>
      </c>
    </row>
    <row r="64" spans="2:35" ht="15" customHeight="1" x14ac:dyDescent="0.25">
      <c r="B64" s="223" t="s">
        <v>327</v>
      </c>
      <c r="C64" s="229">
        <f>HLOOKUP($C$4,$D$4:$BE$84,61,FALSE)</f>
        <v>0</v>
      </c>
      <c r="D64" s="226">
        <f t="shared" si="2"/>
        <v>0</v>
      </c>
      <c r="E64" s="226">
        <f t="shared" si="2"/>
        <v>0</v>
      </c>
      <c r="F64" s="80">
        <v>0</v>
      </c>
      <c r="G64" s="80">
        <v>0</v>
      </c>
      <c r="H64" s="80">
        <v>0</v>
      </c>
      <c r="I64" s="80">
        <v>0</v>
      </c>
      <c r="J64" s="80">
        <v>0</v>
      </c>
      <c r="K64" s="80">
        <v>0</v>
      </c>
      <c r="L64" s="80">
        <v>0</v>
      </c>
      <c r="M64" s="80">
        <v>0</v>
      </c>
      <c r="N64" s="80">
        <v>0</v>
      </c>
      <c r="O64" s="80">
        <v>0</v>
      </c>
      <c r="P64" s="80">
        <v>0</v>
      </c>
      <c r="Q64" s="80">
        <v>0</v>
      </c>
      <c r="R64" s="80">
        <v>0</v>
      </c>
      <c r="S64" s="80">
        <v>0</v>
      </c>
      <c r="T64" s="80">
        <v>0</v>
      </c>
      <c r="U64" s="80">
        <v>0</v>
      </c>
      <c r="V64" s="80">
        <v>0</v>
      </c>
      <c r="W64" s="80">
        <v>0</v>
      </c>
      <c r="X64" s="272">
        <v>0</v>
      </c>
      <c r="Y64" s="272">
        <v>0</v>
      </c>
      <c r="Z64" s="274">
        <v>0</v>
      </c>
      <c r="AA64" s="274">
        <v>0</v>
      </c>
      <c r="AB64" s="274">
        <v>0</v>
      </c>
      <c r="AC64" s="274">
        <v>0</v>
      </c>
      <c r="AD64" s="238" t="s">
        <v>308</v>
      </c>
      <c r="AI64">
        <v>61</v>
      </c>
    </row>
    <row r="65" spans="2:35" ht="15" customHeight="1" x14ac:dyDescent="0.25">
      <c r="B65" s="223" t="s">
        <v>326</v>
      </c>
      <c r="C65" s="229">
        <f>HLOOKUP($C$4,$D$4:$BE$84,62,FALSE)</f>
        <v>0</v>
      </c>
      <c r="D65" s="226">
        <f t="shared" si="2"/>
        <v>0</v>
      </c>
      <c r="E65" s="226">
        <f t="shared" si="2"/>
        <v>0</v>
      </c>
      <c r="F65" s="80">
        <v>0</v>
      </c>
      <c r="G65" s="80">
        <v>0</v>
      </c>
      <c r="H65" s="80">
        <v>0</v>
      </c>
      <c r="I65" s="80">
        <v>0</v>
      </c>
      <c r="J65" s="80">
        <v>0</v>
      </c>
      <c r="K65" s="80">
        <v>0</v>
      </c>
      <c r="L65" s="80">
        <v>0</v>
      </c>
      <c r="M65" s="80">
        <v>0</v>
      </c>
      <c r="N65" s="80">
        <v>0</v>
      </c>
      <c r="O65" s="80">
        <v>0</v>
      </c>
      <c r="P65" s="80">
        <v>0</v>
      </c>
      <c r="Q65" s="80">
        <v>0</v>
      </c>
      <c r="R65" s="80">
        <v>0</v>
      </c>
      <c r="S65" s="80">
        <v>0</v>
      </c>
      <c r="T65" s="80">
        <v>0</v>
      </c>
      <c r="U65" s="80">
        <v>0</v>
      </c>
      <c r="V65" s="80">
        <v>0</v>
      </c>
      <c r="W65" s="80">
        <v>0</v>
      </c>
      <c r="X65" s="272">
        <v>0</v>
      </c>
      <c r="Y65" s="272">
        <v>0</v>
      </c>
      <c r="Z65" s="274">
        <v>0</v>
      </c>
      <c r="AA65" s="274">
        <v>0</v>
      </c>
      <c r="AB65" s="274">
        <v>0</v>
      </c>
      <c r="AC65" s="274">
        <v>0</v>
      </c>
      <c r="AD65" s="238" t="s">
        <v>308</v>
      </c>
      <c r="AI65">
        <v>62</v>
      </c>
    </row>
    <row r="66" spans="2:35" ht="15" customHeight="1" x14ac:dyDescent="0.25">
      <c r="B66" s="81" t="s">
        <v>867</v>
      </c>
      <c r="C66" s="229">
        <f>HLOOKUP($C$4,$D$4:$BE$84,63,FALSE)</f>
        <v>390</v>
      </c>
      <c r="D66" s="226">
        <f t="shared" si="2"/>
        <v>15</v>
      </c>
      <c r="E66" s="226">
        <f t="shared" si="2"/>
        <v>8200</v>
      </c>
      <c r="F66" s="80">
        <v>390</v>
      </c>
      <c r="G66" s="80">
        <v>15</v>
      </c>
      <c r="H66" s="80">
        <v>8200</v>
      </c>
      <c r="I66" s="80">
        <v>390</v>
      </c>
      <c r="J66" s="80">
        <v>15</v>
      </c>
      <c r="K66" s="80">
        <v>8200</v>
      </c>
      <c r="L66" s="80">
        <v>390</v>
      </c>
      <c r="M66" s="80">
        <v>15</v>
      </c>
      <c r="N66" s="80">
        <v>8200</v>
      </c>
      <c r="O66" s="80">
        <v>320</v>
      </c>
      <c r="P66" s="80">
        <v>15</v>
      </c>
      <c r="Q66" s="80">
        <v>8200</v>
      </c>
      <c r="R66" s="80">
        <v>390</v>
      </c>
      <c r="S66" s="80">
        <v>15</v>
      </c>
      <c r="T66" s="80">
        <v>8200</v>
      </c>
      <c r="U66" s="80">
        <v>390</v>
      </c>
      <c r="V66" s="80">
        <v>15</v>
      </c>
      <c r="W66" s="80">
        <v>8200</v>
      </c>
      <c r="X66" s="275">
        <v>390</v>
      </c>
      <c r="Y66" s="275">
        <v>15</v>
      </c>
      <c r="Z66" s="275">
        <v>8200</v>
      </c>
      <c r="AA66" s="275">
        <v>390</v>
      </c>
      <c r="AB66" s="275">
        <v>15</v>
      </c>
      <c r="AC66" s="275">
        <v>8200</v>
      </c>
      <c r="AD66" s="238" t="s">
        <v>309</v>
      </c>
      <c r="AI66">
        <v>63</v>
      </c>
    </row>
    <row r="67" spans="2:35" ht="15" customHeight="1" x14ac:dyDescent="0.25">
      <c r="B67" s="81" t="s">
        <v>283</v>
      </c>
      <c r="C67" s="229">
        <f>HLOOKUP($C$4,$D$4:$BE$84,64,FALSE)</f>
        <v>0.95</v>
      </c>
      <c r="D67" s="226">
        <f t="shared" si="2"/>
        <v>0.95</v>
      </c>
      <c r="E67" s="226">
        <f t="shared" si="2"/>
        <v>0.95</v>
      </c>
      <c r="F67" s="80">
        <v>0</v>
      </c>
      <c r="G67" s="80">
        <v>0</v>
      </c>
      <c r="H67" s="80">
        <v>0</v>
      </c>
      <c r="I67" s="80">
        <v>0</v>
      </c>
      <c r="J67" s="80">
        <v>0</v>
      </c>
      <c r="K67" s="80">
        <v>0</v>
      </c>
      <c r="L67" s="80">
        <v>0.05</v>
      </c>
      <c r="M67" s="80">
        <v>0.05</v>
      </c>
      <c r="N67" s="80">
        <v>0.05</v>
      </c>
      <c r="O67" s="80">
        <v>0.2</v>
      </c>
      <c r="P67" s="80">
        <v>0.2</v>
      </c>
      <c r="Q67" s="80">
        <v>0.2</v>
      </c>
      <c r="R67" s="80">
        <v>0.95</v>
      </c>
      <c r="S67" s="80">
        <v>0.95</v>
      </c>
      <c r="T67" s="80">
        <v>0.95</v>
      </c>
      <c r="U67" s="80">
        <v>0.95</v>
      </c>
      <c r="V67" s="80">
        <v>0.95</v>
      </c>
      <c r="W67" s="80">
        <v>0.95</v>
      </c>
      <c r="X67" s="80">
        <v>0.95</v>
      </c>
      <c r="Y67" s="80">
        <v>0.95</v>
      </c>
      <c r="Z67" s="269">
        <v>0.95</v>
      </c>
      <c r="AA67" s="275">
        <v>0.3</v>
      </c>
      <c r="AB67" s="275">
        <v>0.3</v>
      </c>
      <c r="AC67" s="275">
        <v>0.3</v>
      </c>
      <c r="AD67" s="238" t="s">
        <v>310</v>
      </c>
      <c r="AI67">
        <v>64</v>
      </c>
    </row>
    <row r="68" spans="2:35" ht="15" customHeight="1" x14ac:dyDescent="0.25">
      <c r="B68" s="81" t="s">
        <v>284</v>
      </c>
      <c r="C68" s="229">
        <f>HLOOKUP($C$4,$D$4:$BE$84,65,FALSE)</f>
        <v>0.05</v>
      </c>
      <c r="D68" s="226">
        <f t="shared" si="2"/>
        <v>0.05</v>
      </c>
      <c r="E68" s="226">
        <f t="shared" si="2"/>
        <v>0.05</v>
      </c>
      <c r="F68" s="80">
        <v>0.1</v>
      </c>
      <c r="G68" s="80">
        <v>0.1</v>
      </c>
      <c r="H68" s="80">
        <v>0.1</v>
      </c>
      <c r="I68" s="80">
        <v>0.87</v>
      </c>
      <c r="J68" s="80">
        <v>0.87</v>
      </c>
      <c r="K68" s="80">
        <v>0.87</v>
      </c>
      <c r="L68" s="80">
        <v>0.28499999999999998</v>
      </c>
      <c r="M68" s="80">
        <v>0.28499999999999998</v>
      </c>
      <c r="N68" s="80">
        <v>0.28499999999999998</v>
      </c>
      <c r="O68" s="80">
        <v>0.16</v>
      </c>
      <c r="P68" s="80">
        <v>0.16</v>
      </c>
      <c r="Q68" s="80">
        <v>0.16</v>
      </c>
      <c r="R68" s="80">
        <v>0.05</v>
      </c>
      <c r="S68" s="80">
        <v>0.05</v>
      </c>
      <c r="T68" s="80">
        <v>0.05</v>
      </c>
      <c r="U68" s="80">
        <v>0.05</v>
      </c>
      <c r="V68" s="80">
        <v>0.05</v>
      </c>
      <c r="W68" s="80">
        <v>0.05</v>
      </c>
      <c r="X68" s="80">
        <v>0.05</v>
      </c>
      <c r="Y68" s="80">
        <v>0.05</v>
      </c>
      <c r="Z68" s="269">
        <v>0.05</v>
      </c>
      <c r="AA68" s="275">
        <v>0.3377</v>
      </c>
      <c r="AB68" s="275">
        <v>0.3377</v>
      </c>
      <c r="AC68" s="275">
        <v>0.3377</v>
      </c>
      <c r="AD68" s="238" t="s">
        <v>310</v>
      </c>
      <c r="AI68">
        <v>65</v>
      </c>
    </row>
    <row r="69" spans="2:35" ht="15" customHeight="1" x14ac:dyDescent="0.25">
      <c r="B69" s="81" t="s">
        <v>285</v>
      </c>
      <c r="C69" s="229">
        <f>HLOOKUP($C$4,$D$4:$BE$84,66,FALSE)</f>
        <v>0</v>
      </c>
      <c r="D69" s="226">
        <f t="shared" si="2"/>
        <v>0</v>
      </c>
      <c r="E69" s="226">
        <f t="shared" si="2"/>
        <v>0</v>
      </c>
      <c r="F69" s="80">
        <v>0.7</v>
      </c>
      <c r="G69" s="80">
        <v>0.7</v>
      </c>
      <c r="H69" s="80">
        <v>0.7</v>
      </c>
      <c r="I69" s="80">
        <v>0.13</v>
      </c>
      <c r="J69" s="80">
        <v>0.13</v>
      </c>
      <c r="K69" s="80">
        <v>0.13</v>
      </c>
      <c r="L69" s="80">
        <v>0.66500000000000004</v>
      </c>
      <c r="M69" s="80">
        <v>0.66500000000000004</v>
      </c>
      <c r="N69" s="80">
        <v>0.66500000000000004</v>
      </c>
      <c r="O69" s="80">
        <v>0.34</v>
      </c>
      <c r="P69" s="80">
        <v>0.34</v>
      </c>
      <c r="Q69" s="80">
        <v>0.34</v>
      </c>
      <c r="R69" s="80">
        <v>0</v>
      </c>
      <c r="S69" s="80">
        <v>0</v>
      </c>
      <c r="T69" s="80">
        <v>0</v>
      </c>
      <c r="U69" s="80">
        <v>0</v>
      </c>
      <c r="V69" s="80">
        <v>0</v>
      </c>
      <c r="W69" s="80">
        <v>0</v>
      </c>
      <c r="X69" s="80">
        <v>0</v>
      </c>
      <c r="Y69" s="80">
        <v>0</v>
      </c>
      <c r="Z69" s="269">
        <v>0</v>
      </c>
      <c r="AA69" s="275">
        <v>0.27689999999999998</v>
      </c>
      <c r="AB69" s="275">
        <v>0.27689999999999998</v>
      </c>
      <c r="AC69" s="275">
        <v>0.27689999999999998</v>
      </c>
      <c r="AD69" s="238" t="s">
        <v>310</v>
      </c>
      <c r="AI69">
        <v>66</v>
      </c>
    </row>
    <row r="70" spans="2:35" ht="15" customHeight="1" x14ac:dyDescent="0.25">
      <c r="B70" s="81" t="s">
        <v>286</v>
      </c>
      <c r="C70" s="229">
        <f>HLOOKUP($C$4,$D$4:$BE$84,67,FALSE)</f>
        <v>0</v>
      </c>
      <c r="D70" s="226">
        <f t="shared" si="2"/>
        <v>0</v>
      </c>
      <c r="E70" s="226">
        <f t="shared" si="2"/>
        <v>0</v>
      </c>
      <c r="F70" s="80">
        <v>0.2</v>
      </c>
      <c r="G70" s="80">
        <v>0.2</v>
      </c>
      <c r="H70" s="80">
        <v>0.2</v>
      </c>
      <c r="I70" s="80">
        <v>0</v>
      </c>
      <c r="J70" s="80">
        <v>0</v>
      </c>
      <c r="K70" s="80">
        <v>0</v>
      </c>
      <c r="L70" s="80">
        <v>0</v>
      </c>
      <c r="M70" s="80">
        <v>0</v>
      </c>
      <c r="N70" s="80">
        <v>0</v>
      </c>
      <c r="O70" s="80">
        <v>0.3</v>
      </c>
      <c r="P70" s="80">
        <v>0.3</v>
      </c>
      <c r="Q70" s="80">
        <v>0.3</v>
      </c>
      <c r="R70" s="80">
        <v>0</v>
      </c>
      <c r="S70" s="80">
        <v>0</v>
      </c>
      <c r="T70" s="80">
        <v>0</v>
      </c>
      <c r="U70" s="80">
        <v>0</v>
      </c>
      <c r="V70" s="80">
        <v>0</v>
      </c>
      <c r="W70" s="80">
        <v>0</v>
      </c>
      <c r="X70" s="80">
        <v>0</v>
      </c>
      <c r="Y70" s="80">
        <v>0</v>
      </c>
      <c r="Z70" s="269">
        <v>0</v>
      </c>
      <c r="AA70" s="275">
        <v>8.5400000000000004E-2</v>
      </c>
      <c r="AB70" s="275">
        <v>8.5400000000000004E-2</v>
      </c>
      <c r="AC70" s="275">
        <v>8.5400000000000004E-2</v>
      </c>
      <c r="AD70" s="238" t="s">
        <v>310</v>
      </c>
      <c r="AI70">
        <v>67</v>
      </c>
    </row>
    <row r="71" spans="2:35" ht="15" customHeight="1" x14ac:dyDescent="0.25">
      <c r="B71" s="225" t="s">
        <v>868</v>
      </c>
      <c r="C71" s="229">
        <f>HLOOKUP($C$4,$D$4:$BE$84,68,FALSE)</f>
        <v>3165.1576170966068</v>
      </c>
      <c r="D71" s="226">
        <f t="shared" si="2"/>
        <v>3161.4602036783654</v>
      </c>
      <c r="E71" s="226">
        <f t="shared" si="2"/>
        <v>3168.8550305148483</v>
      </c>
      <c r="F71" s="276">
        <v>1637891.3102150476</v>
      </c>
      <c r="G71" s="276">
        <v>1636176.1546863455</v>
      </c>
      <c r="H71" s="276">
        <v>1639606.4657437496</v>
      </c>
      <c r="I71" s="276">
        <v>31993.970035276056</v>
      </c>
      <c r="J71" s="276">
        <v>31864.906552297274</v>
      </c>
      <c r="K71" s="276">
        <v>32123.033518254837</v>
      </c>
      <c r="L71" s="276">
        <v>33344.455237852868</v>
      </c>
      <c r="M71" s="276">
        <v>33067.33238703198</v>
      </c>
      <c r="N71" s="276">
        <v>33621.578088673756</v>
      </c>
      <c r="O71" s="276">
        <v>113405.33132219901</v>
      </c>
      <c r="P71" s="276">
        <v>113353.20161562103</v>
      </c>
      <c r="Q71" s="276">
        <v>113457.46102877699</v>
      </c>
      <c r="R71" s="276">
        <v>31755.187401248237</v>
      </c>
      <c r="S71" s="276">
        <v>31747.685498036815</v>
      </c>
      <c r="T71" s="276">
        <v>31762.689304459658</v>
      </c>
      <c r="U71" s="276">
        <v>3165.1576170966068</v>
      </c>
      <c r="V71" s="276">
        <v>3161.4602036783654</v>
      </c>
      <c r="W71" s="276">
        <v>3168.8550305148483</v>
      </c>
      <c r="X71" s="276">
        <v>21178.940810579781</v>
      </c>
      <c r="Y71" s="276">
        <v>21145.713710951863</v>
      </c>
      <c r="Z71" s="276">
        <v>21212.1679102077</v>
      </c>
      <c r="AA71" s="276">
        <v>75336406.262899965</v>
      </c>
      <c r="AB71" s="276">
        <v>74845572.278471261</v>
      </c>
      <c r="AC71" s="276">
        <v>75827240.247328669</v>
      </c>
      <c r="AD71" s="238" t="s">
        <v>869</v>
      </c>
      <c r="AI71">
        <v>68</v>
      </c>
    </row>
    <row r="72" spans="2:35" ht="15" customHeight="1" x14ac:dyDescent="0.25">
      <c r="B72" s="79"/>
      <c r="C72" s="226"/>
      <c r="D72" s="226"/>
      <c r="E72" s="226"/>
      <c r="F72" s="80"/>
      <c r="G72" s="80"/>
      <c r="H72" s="80"/>
      <c r="I72" s="80"/>
      <c r="J72" s="80"/>
      <c r="K72" s="80"/>
      <c r="L72" s="80"/>
      <c r="M72" s="80"/>
      <c r="N72" s="80"/>
      <c r="O72" s="80"/>
      <c r="P72" s="80"/>
      <c r="Q72" s="80"/>
      <c r="R72" s="80"/>
      <c r="S72" s="80"/>
      <c r="T72" s="80"/>
      <c r="U72" s="80"/>
      <c r="V72" s="80"/>
      <c r="W72" s="80"/>
      <c r="X72" s="269"/>
      <c r="Y72" s="269"/>
      <c r="Z72" s="269"/>
      <c r="AA72" s="269"/>
      <c r="AB72" s="269"/>
      <c r="AC72" s="269"/>
      <c r="AD72" s="239"/>
    </row>
    <row r="73" spans="2:35" ht="15" customHeight="1" thickBot="1" x14ac:dyDescent="0.3">
      <c r="B73" s="82"/>
      <c r="C73" s="240"/>
      <c r="D73" s="240"/>
      <c r="E73" s="240"/>
      <c r="F73" s="83"/>
      <c r="G73" s="83"/>
      <c r="H73" s="83"/>
      <c r="I73" s="83"/>
      <c r="J73" s="83"/>
      <c r="K73" s="83"/>
      <c r="L73" s="83"/>
      <c r="M73" s="83"/>
      <c r="N73" s="83"/>
      <c r="O73" s="83"/>
      <c r="P73" s="83"/>
      <c r="Q73" s="83"/>
      <c r="R73" s="83"/>
      <c r="S73" s="83"/>
      <c r="T73" s="83"/>
      <c r="U73" s="83"/>
      <c r="V73" s="83"/>
      <c r="W73" s="83"/>
      <c r="X73" s="270"/>
      <c r="Y73" s="270"/>
      <c r="Z73" s="270"/>
      <c r="AA73" s="270"/>
      <c r="AB73" s="270"/>
      <c r="AC73" s="270"/>
      <c r="AD73" s="241"/>
    </row>
    <row r="74" spans="2:35" ht="15" customHeight="1" x14ac:dyDescent="0.25"/>
    <row r="75" spans="2:35" ht="15" customHeight="1" x14ac:dyDescent="0.25"/>
    <row r="76" spans="2:35" ht="15" customHeight="1" x14ac:dyDescent="0.25"/>
    <row r="77" spans="2:35" ht="15" customHeight="1" x14ac:dyDescent="0.25"/>
    <row r="78" spans="2:35" ht="15" customHeight="1" x14ac:dyDescent="0.25"/>
    <row r="79" spans="2:35" ht="18.75" x14ac:dyDescent="0.3">
      <c r="B79" s="84" t="s">
        <v>112</v>
      </c>
    </row>
    <row r="80" spans="2:35" x14ac:dyDescent="0.25">
      <c r="B80" s="85" t="s">
        <v>110</v>
      </c>
      <c r="C80" s="339" t="s">
        <v>9</v>
      </c>
      <c r="D80" s="339"/>
      <c r="E80" s="339"/>
      <c r="F80" s="339"/>
      <c r="G80" s="339"/>
      <c r="H80" s="339"/>
      <c r="I80" s="339"/>
      <c r="J80" s="339"/>
      <c r="K80" s="339"/>
      <c r="L80" s="339"/>
      <c r="M80" s="339"/>
      <c r="N80" s="339"/>
      <c r="O80" s="339"/>
      <c r="P80" s="339"/>
      <c r="Q80" s="339"/>
      <c r="R80" s="339"/>
      <c r="S80" s="339"/>
      <c r="T80" s="339"/>
      <c r="U80" s="339"/>
      <c r="V80" s="339"/>
    </row>
    <row r="81" spans="2:22" ht="30" customHeight="1" x14ac:dyDescent="0.25">
      <c r="B81" s="86">
        <v>1</v>
      </c>
      <c r="C81" s="331" t="s">
        <v>113</v>
      </c>
      <c r="D81" s="331"/>
      <c r="E81" s="331"/>
      <c r="F81" s="331"/>
      <c r="G81" s="331"/>
      <c r="H81" s="331"/>
      <c r="I81" s="331"/>
      <c r="J81" s="331"/>
      <c r="K81" s="331"/>
      <c r="L81" s="331"/>
      <c r="M81" s="331"/>
      <c r="N81" s="331"/>
      <c r="O81" s="331"/>
      <c r="P81" s="331"/>
      <c r="Q81" s="331"/>
      <c r="R81" s="331"/>
      <c r="S81" s="331"/>
      <c r="T81" s="331"/>
      <c r="U81" s="331"/>
      <c r="V81" s="331"/>
    </row>
    <row r="82" spans="2:22" ht="30" customHeight="1" x14ac:dyDescent="0.25">
      <c r="B82" s="86">
        <v>2</v>
      </c>
      <c r="C82" s="332"/>
      <c r="D82" s="332"/>
      <c r="E82" s="332"/>
      <c r="F82" s="332"/>
      <c r="G82" s="332"/>
      <c r="H82" s="332"/>
      <c r="I82" s="332"/>
      <c r="J82" s="332"/>
      <c r="K82" s="332"/>
      <c r="L82" s="332"/>
      <c r="M82" s="332"/>
      <c r="N82" s="332"/>
      <c r="O82" s="332"/>
      <c r="P82" s="332"/>
      <c r="Q82" s="332"/>
      <c r="R82" s="332"/>
      <c r="S82" s="332"/>
      <c r="T82" s="332"/>
      <c r="U82" s="332"/>
      <c r="V82" s="332"/>
    </row>
    <row r="83" spans="2:22" ht="30" customHeight="1" x14ac:dyDescent="0.25">
      <c r="B83" s="87">
        <v>3</v>
      </c>
      <c r="C83" s="333"/>
      <c r="D83" s="333"/>
      <c r="E83" s="333"/>
      <c r="F83" s="333"/>
      <c r="G83" s="333"/>
      <c r="H83" s="333"/>
      <c r="I83" s="333"/>
      <c r="J83" s="333"/>
      <c r="K83" s="333"/>
      <c r="L83" s="333"/>
      <c r="M83" s="333"/>
      <c r="N83" s="333"/>
      <c r="O83" s="333"/>
      <c r="P83" s="333"/>
      <c r="Q83" s="333"/>
      <c r="R83" s="333"/>
      <c r="S83" s="333"/>
      <c r="T83" s="333"/>
      <c r="U83" s="333"/>
      <c r="V83" s="333"/>
    </row>
  </sheetData>
  <mergeCells count="10">
    <mergeCell ref="C81:V81"/>
    <mergeCell ref="C82:V82"/>
    <mergeCell ref="C83:V83"/>
    <mergeCell ref="A1:AE1"/>
    <mergeCell ref="B3:B6"/>
    <mergeCell ref="AD3:AD6"/>
    <mergeCell ref="C80:V80"/>
    <mergeCell ref="F3:W3"/>
    <mergeCell ref="F5:W5"/>
    <mergeCell ref="C5:E5"/>
  </mergeCells>
  <dataValidations count="1">
    <dataValidation type="list" allowBlank="1" showInputMessage="1" showErrorMessage="1" sqref="C4" xr:uid="{00000000-0002-0000-0200-000000000000}">
      <formula1>$AK$7:$AK$12</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IK60"/>
  <sheetViews>
    <sheetView zoomScaleNormal="100" workbookViewId="0">
      <pane xSplit="1" topLeftCell="K1" activePane="topRight" state="frozen"/>
      <selection activeCell="D16" sqref="D16:M16"/>
      <selection pane="topRight" activeCell="O2" sqref="O2"/>
    </sheetView>
  </sheetViews>
  <sheetFormatPr defaultColWidth="36.85546875" defaultRowHeight="12.75" customHeight="1" x14ac:dyDescent="0.25"/>
  <cols>
    <col min="1" max="1" width="18.5703125" style="143" customWidth="1"/>
    <col min="2" max="10" width="31.42578125" style="142" customWidth="1"/>
    <col min="11" max="27" width="36.85546875" style="142" customWidth="1"/>
    <col min="28" max="28" width="37" style="142" customWidth="1"/>
    <col min="29" max="35" width="36.85546875" style="142" customWidth="1"/>
    <col min="36" max="44" width="36.85546875" style="143" customWidth="1"/>
    <col min="45" max="45" width="37.140625" style="143" customWidth="1"/>
    <col min="46" max="47" width="36.85546875" style="143" customWidth="1"/>
    <col min="48" max="48" width="36.5703125" style="143" customWidth="1"/>
    <col min="49" max="50" width="36.85546875" style="143" customWidth="1"/>
    <col min="51" max="51" width="36.5703125" style="143" customWidth="1"/>
    <col min="52" max="52" width="37" style="143" customWidth="1"/>
    <col min="53" max="71" width="36.85546875" style="143" customWidth="1"/>
    <col min="72" max="72" width="37" style="143" customWidth="1"/>
    <col min="73" max="90" width="36.85546875" style="143" customWidth="1"/>
    <col min="91" max="91" width="36.5703125" style="143" customWidth="1"/>
    <col min="92" max="104" width="36.85546875" style="143" customWidth="1"/>
    <col min="105" max="105" width="36.5703125" style="143" customWidth="1"/>
    <col min="106" max="108" width="36.85546875" style="143" customWidth="1"/>
    <col min="109" max="109" width="36.5703125" style="143" customWidth="1"/>
    <col min="110" max="117" width="36.85546875" style="143" customWidth="1"/>
    <col min="118" max="118" width="36.5703125" style="143" customWidth="1"/>
    <col min="119" max="256" width="36.85546875" style="143"/>
    <col min="257" max="257" width="18.5703125" style="143" customWidth="1"/>
    <col min="258" max="266" width="31.42578125" style="143" customWidth="1"/>
    <col min="267" max="283" width="36.85546875" style="143" customWidth="1"/>
    <col min="284" max="284" width="37" style="143" customWidth="1"/>
    <col min="285" max="300" width="36.85546875" style="143" customWidth="1"/>
    <col min="301" max="301" width="37.140625" style="143" customWidth="1"/>
    <col min="302" max="303" width="36.85546875" style="143" customWidth="1"/>
    <col min="304" max="304" width="36.5703125" style="143" customWidth="1"/>
    <col min="305" max="306" width="36.85546875" style="143" customWidth="1"/>
    <col min="307" max="307" width="36.5703125" style="143" customWidth="1"/>
    <col min="308" max="308" width="37" style="143" customWidth="1"/>
    <col min="309" max="327" width="36.85546875" style="143" customWidth="1"/>
    <col min="328" max="328" width="37" style="143" customWidth="1"/>
    <col min="329" max="346" width="36.85546875" style="143" customWidth="1"/>
    <col min="347" max="347" width="36.5703125" style="143" customWidth="1"/>
    <col min="348" max="360" width="36.85546875" style="143" customWidth="1"/>
    <col min="361" max="361" width="36.5703125" style="143" customWidth="1"/>
    <col min="362" max="364" width="36.85546875" style="143" customWidth="1"/>
    <col min="365" max="365" width="36.5703125" style="143" customWidth="1"/>
    <col min="366" max="373" width="36.85546875" style="143" customWidth="1"/>
    <col min="374" max="374" width="36.5703125" style="143" customWidth="1"/>
    <col min="375" max="512" width="36.85546875" style="143"/>
    <col min="513" max="513" width="18.5703125" style="143" customWidth="1"/>
    <col min="514" max="522" width="31.42578125" style="143" customWidth="1"/>
    <col min="523" max="539" width="36.85546875" style="143" customWidth="1"/>
    <col min="540" max="540" width="37" style="143" customWidth="1"/>
    <col min="541" max="556" width="36.85546875" style="143" customWidth="1"/>
    <col min="557" max="557" width="37.140625" style="143" customWidth="1"/>
    <col min="558" max="559" width="36.85546875" style="143" customWidth="1"/>
    <col min="560" max="560" width="36.5703125" style="143" customWidth="1"/>
    <col min="561" max="562" width="36.85546875" style="143" customWidth="1"/>
    <col min="563" max="563" width="36.5703125" style="143" customWidth="1"/>
    <col min="564" max="564" width="37" style="143" customWidth="1"/>
    <col min="565" max="583" width="36.85546875" style="143" customWidth="1"/>
    <col min="584" max="584" width="37" style="143" customWidth="1"/>
    <col min="585" max="602" width="36.85546875" style="143" customWidth="1"/>
    <col min="603" max="603" width="36.5703125" style="143" customWidth="1"/>
    <col min="604" max="616" width="36.85546875" style="143" customWidth="1"/>
    <col min="617" max="617" width="36.5703125" style="143" customWidth="1"/>
    <col min="618" max="620" width="36.85546875" style="143" customWidth="1"/>
    <col min="621" max="621" width="36.5703125" style="143" customWidth="1"/>
    <col min="622" max="629" width="36.85546875" style="143" customWidth="1"/>
    <col min="630" max="630" width="36.5703125" style="143" customWidth="1"/>
    <col min="631" max="768" width="36.85546875" style="143"/>
    <col min="769" max="769" width="18.5703125" style="143" customWidth="1"/>
    <col min="770" max="778" width="31.42578125" style="143" customWidth="1"/>
    <col min="779" max="795" width="36.85546875" style="143" customWidth="1"/>
    <col min="796" max="796" width="37" style="143" customWidth="1"/>
    <col min="797" max="812" width="36.85546875" style="143" customWidth="1"/>
    <col min="813" max="813" width="37.140625" style="143" customWidth="1"/>
    <col min="814" max="815" width="36.85546875" style="143" customWidth="1"/>
    <col min="816" max="816" width="36.5703125" style="143" customWidth="1"/>
    <col min="817" max="818" width="36.85546875" style="143" customWidth="1"/>
    <col min="819" max="819" width="36.5703125" style="143" customWidth="1"/>
    <col min="820" max="820" width="37" style="143" customWidth="1"/>
    <col min="821" max="839" width="36.85546875" style="143" customWidth="1"/>
    <col min="840" max="840" width="37" style="143" customWidth="1"/>
    <col min="841" max="858" width="36.85546875" style="143" customWidth="1"/>
    <col min="859" max="859" width="36.5703125" style="143" customWidth="1"/>
    <col min="860" max="872" width="36.85546875" style="143" customWidth="1"/>
    <col min="873" max="873" width="36.5703125" style="143" customWidth="1"/>
    <col min="874" max="876" width="36.85546875" style="143" customWidth="1"/>
    <col min="877" max="877" width="36.5703125" style="143" customWidth="1"/>
    <col min="878" max="885" width="36.85546875" style="143" customWidth="1"/>
    <col min="886" max="886" width="36.5703125" style="143" customWidth="1"/>
    <col min="887" max="1024" width="36.85546875" style="143"/>
    <col min="1025" max="1025" width="18.5703125" style="143" customWidth="1"/>
    <col min="1026" max="1034" width="31.42578125" style="143" customWidth="1"/>
    <col min="1035" max="1051" width="36.85546875" style="143" customWidth="1"/>
    <col min="1052" max="1052" width="37" style="143" customWidth="1"/>
    <col min="1053" max="1068" width="36.85546875" style="143" customWidth="1"/>
    <col min="1069" max="1069" width="37.140625" style="143" customWidth="1"/>
    <col min="1070" max="1071" width="36.85546875" style="143" customWidth="1"/>
    <col min="1072" max="1072" width="36.5703125" style="143" customWidth="1"/>
    <col min="1073" max="1074" width="36.85546875" style="143" customWidth="1"/>
    <col min="1075" max="1075" width="36.5703125" style="143" customWidth="1"/>
    <col min="1076" max="1076" width="37" style="143" customWidth="1"/>
    <col min="1077" max="1095" width="36.85546875" style="143" customWidth="1"/>
    <col min="1096" max="1096" width="37" style="143" customWidth="1"/>
    <col min="1097" max="1114" width="36.85546875" style="143" customWidth="1"/>
    <col min="1115" max="1115" width="36.5703125" style="143" customWidth="1"/>
    <col min="1116" max="1128" width="36.85546875" style="143" customWidth="1"/>
    <col min="1129" max="1129" width="36.5703125" style="143" customWidth="1"/>
    <col min="1130" max="1132" width="36.85546875" style="143" customWidth="1"/>
    <col min="1133" max="1133" width="36.5703125" style="143" customWidth="1"/>
    <col min="1134" max="1141" width="36.85546875" style="143" customWidth="1"/>
    <col min="1142" max="1142" width="36.5703125" style="143" customWidth="1"/>
    <col min="1143" max="1280" width="36.85546875" style="143"/>
    <col min="1281" max="1281" width="18.5703125" style="143" customWidth="1"/>
    <col min="1282" max="1290" width="31.42578125" style="143" customWidth="1"/>
    <col min="1291" max="1307" width="36.85546875" style="143" customWidth="1"/>
    <col min="1308" max="1308" width="37" style="143" customWidth="1"/>
    <col min="1309" max="1324" width="36.85546875" style="143" customWidth="1"/>
    <col min="1325" max="1325" width="37.140625" style="143" customWidth="1"/>
    <col min="1326" max="1327" width="36.85546875" style="143" customWidth="1"/>
    <col min="1328" max="1328" width="36.5703125" style="143" customWidth="1"/>
    <col min="1329" max="1330" width="36.85546875" style="143" customWidth="1"/>
    <col min="1331" max="1331" width="36.5703125" style="143" customWidth="1"/>
    <col min="1332" max="1332" width="37" style="143" customWidth="1"/>
    <col min="1333" max="1351" width="36.85546875" style="143" customWidth="1"/>
    <col min="1352" max="1352" width="37" style="143" customWidth="1"/>
    <col min="1353" max="1370" width="36.85546875" style="143" customWidth="1"/>
    <col min="1371" max="1371" width="36.5703125" style="143" customWidth="1"/>
    <col min="1372" max="1384" width="36.85546875" style="143" customWidth="1"/>
    <col min="1385" max="1385" width="36.5703125" style="143" customWidth="1"/>
    <col min="1386" max="1388" width="36.85546875" style="143" customWidth="1"/>
    <col min="1389" max="1389" width="36.5703125" style="143" customWidth="1"/>
    <col min="1390" max="1397" width="36.85546875" style="143" customWidth="1"/>
    <col min="1398" max="1398" width="36.5703125" style="143" customWidth="1"/>
    <col min="1399" max="1536" width="36.85546875" style="143"/>
    <col min="1537" max="1537" width="18.5703125" style="143" customWidth="1"/>
    <col min="1538" max="1546" width="31.42578125" style="143" customWidth="1"/>
    <col min="1547" max="1563" width="36.85546875" style="143" customWidth="1"/>
    <col min="1564" max="1564" width="37" style="143" customWidth="1"/>
    <col min="1565" max="1580" width="36.85546875" style="143" customWidth="1"/>
    <col min="1581" max="1581" width="37.140625" style="143" customWidth="1"/>
    <col min="1582" max="1583" width="36.85546875" style="143" customWidth="1"/>
    <col min="1584" max="1584" width="36.5703125" style="143" customWidth="1"/>
    <col min="1585" max="1586" width="36.85546875" style="143" customWidth="1"/>
    <col min="1587" max="1587" width="36.5703125" style="143" customWidth="1"/>
    <col min="1588" max="1588" width="37" style="143" customWidth="1"/>
    <col min="1589" max="1607" width="36.85546875" style="143" customWidth="1"/>
    <col min="1608" max="1608" width="37" style="143" customWidth="1"/>
    <col min="1609" max="1626" width="36.85546875" style="143" customWidth="1"/>
    <col min="1627" max="1627" width="36.5703125" style="143" customWidth="1"/>
    <col min="1628" max="1640" width="36.85546875" style="143" customWidth="1"/>
    <col min="1641" max="1641" width="36.5703125" style="143" customWidth="1"/>
    <col min="1642" max="1644" width="36.85546875" style="143" customWidth="1"/>
    <col min="1645" max="1645" width="36.5703125" style="143" customWidth="1"/>
    <col min="1646" max="1653" width="36.85546875" style="143" customWidth="1"/>
    <col min="1654" max="1654" width="36.5703125" style="143" customWidth="1"/>
    <col min="1655" max="1792" width="36.85546875" style="143"/>
    <col min="1793" max="1793" width="18.5703125" style="143" customWidth="1"/>
    <col min="1794" max="1802" width="31.42578125" style="143" customWidth="1"/>
    <col min="1803" max="1819" width="36.85546875" style="143" customWidth="1"/>
    <col min="1820" max="1820" width="37" style="143" customWidth="1"/>
    <col min="1821" max="1836" width="36.85546875" style="143" customWidth="1"/>
    <col min="1837" max="1837" width="37.140625" style="143" customWidth="1"/>
    <col min="1838" max="1839" width="36.85546875" style="143" customWidth="1"/>
    <col min="1840" max="1840" width="36.5703125" style="143" customWidth="1"/>
    <col min="1841" max="1842" width="36.85546875" style="143" customWidth="1"/>
    <col min="1843" max="1843" width="36.5703125" style="143" customWidth="1"/>
    <col min="1844" max="1844" width="37" style="143" customWidth="1"/>
    <col min="1845" max="1863" width="36.85546875" style="143" customWidth="1"/>
    <col min="1864" max="1864" width="37" style="143" customWidth="1"/>
    <col min="1865" max="1882" width="36.85546875" style="143" customWidth="1"/>
    <col min="1883" max="1883" width="36.5703125" style="143" customWidth="1"/>
    <col min="1884" max="1896" width="36.85546875" style="143" customWidth="1"/>
    <col min="1897" max="1897" width="36.5703125" style="143" customWidth="1"/>
    <col min="1898" max="1900" width="36.85546875" style="143" customWidth="1"/>
    <col min="1901" max="1901" width="36.5703125" style="143" customWidth="1"/>
    <col min="1902" max="1909" width="36.85546875" style="143" customWidth="1"/>
    <col min="1910" max="1910" width="36.5703125" style="143" customWidth="1"/>
    <col min="1911" max="2048" width="36.85546875" style="143"/>
    <col min="2049" max="2049" width="18.5703125" style="143" customWidth="1"/>
    <col min="2050" max="2058" width="31.42578125" style="143" customWidth="1"/>
    <col min="2059" max="2075" width="36.85546875" style="143" customWidth="1"/>
    <col min="2076" max="2076" width="37" style="143" customWidth="1"/>
    <col min="2077" max="2092" width="36.85546875" style="143" customWidth="1"/>
    <col min="2093" max="2093" width="37.140625" style="143" customWidth="1"/>
    <col min="2094" max="2095" width="36.85546875" style="143" customWidth="1"/>
    <col min="2096" max="2096" width="36.5703125" style="143" customWidth="1"/>
    <col min="2097" max="2098" width="36.85546875" style="143" customWidth="1"/>
    <col min="2099" max="2099" width="36.5703125" style="143" customWidth="1"/>
    <col min="2100" max="2100" width="37" style="143" customWidth="1"/>
    <col min="2101" max="2119" width="36.85546875" style="143" customWidth="1"/>
    <col min="2120" max="2120" width="37" style="143" customWidth="1"/>
    <col min="2121" max="2138" width="36.85546875" style="143" customWidth="1"/>
    <col min="2139" max="2139" width="36.5703125" style="143" customWidth="1"/>
    <col min="2140" max="2152" width="36.85546875" style="143" customWidth="1"/>
    <col min="2153" max="2153" width="36.5703125" style="143" customWidth="1"/>
    <col min="2154" max="2156" width="36.85546875" style="143" customWidth="1"/>
    <col min="2157" max="2157" width="36.5703125" style="143" customWidth="1"/>
    <col min="2158" max="2165" width="36.85546875" style="143" customWidth="1"/>
    <col min="2166" max="2166" width="36.5703125" style="143" customWidth="1"/>
    <col min="2167" max="2304" width="36.85546875" style="143"/>
    <col min="2305" max="2305" width="18.5703125" style="143" customWidth="1"/>
    <col min="2306" max="2314" width="31.42578125" style="143" customWidth="1"/>
    <col min="2315" max="2331" width="36.85546875" style="143" customWidth="1"/>
    <col min="2332" max="2332" width="37" style="143" customWidth="1"/>
    <col min="2333" max="2348" width="36.85546875" style="143" customWidth="1"/>
    <col min="2349" max="2349" width="37.140625" style="143" customWidth="1"/>
    <col min="2350" max="2351" width="36.85546875" style="143" customWidth="1"/>
    <col min="2352" max="2352" width="36.5703125" style="143" customWidth="1"/>
    <col min="2353" max="2354" width="36.85546875" style="143" customWidth="1"/>
    <col min="2355" max="2355" width="36.5703125" style="143" customWidth="1"/>
    <col min="2356" max="2356" width="37" style="143" customWidth="1"/>
    <col min="2357" max="2375" width="36.85546875" style="143" customWidth="1"/>
    <col min="2376" max="2376" width="37" style="143" customWidth="1"/>
    <col min="2377" max="2394" width="36.85546875" style="143" customWidth="1"/>
    <col min="2395" max="2395" width="36.5703125" style="143" customWidth="1"/>
    <col min="2396" max="2408" width="36.85546875" style="143" customWidth="1"/>
    <col min="2409" max="2409" width="36.5703125" style="143" customWidth="1"/>
    <col min="2410" max="2412" width="36.85546875" style="143" customWidth="1"/>
    <col min="2413" max="2413" width="36.5703125" style="143" customWidth="1"/>
    <col min="2414" max="2421" width="36.85546875" style="143" customWidth="1"/>
    <col min="2422" max="2422" width="36.5703125" style="143" customWidth="1"/>
    <col min="2423" max="2560" width="36.85546875" style="143"/>
    <col min="2561" max="2561" width="18.5703125" style="143" customWidth="1"/>
    <col min="2562" max="2570" width="31.42578125" style="143" customWidth="1"/>
    <col min="2571" max="2587" width="36.85546875" style="143" customWidth="1"/>
    <col min="2588" max="2588" width="37" style="143" customWidth="1"/>
    <col min="2589" max="2604" width="36.85546875" style="143" customWidth="1"/>
    <col min="2605" max="2605" width="37.140625" style="143" customWidth="1"/>
    <col min="2606" max="2607" width="36.85546875" style="143" customWidth="1"/>
    <col min="2608" max="2608" width="36.5703125" style="143" customWidth="1"/>
    <col min="2609" max="2610" width="36.85546875" style="143" customWidth="1"/>
    <col min="2611" max="2611" width="36.5703125" style="143" customWidth="1"/>
    <col min="2612" max="2612" width="37" style="143" customWidth="1"/>
    <col min="2613" max="2631" width="36.85546875" style="143" customWidth="1"/>
    <col min="2632" max="2632" width="37" style="143" customWidth="1"/>
    <col min="2633" max="2650" width="36.85546875" style="143" customWidth="1"/>
    <col min="2651" max="2651" width="36.5703125" style="143" customWidth="1"/>
    <col min="2652" max="2664" width="36.85546875" style="143" customWidth="1"/>
    <col min="2665" max="2665" width="36.5703125" style="143" customWidth="1"/>
    <col min="2666" max="2668" width="36.85546875" style="143" customWidth="1"/>
    <col min="2669" max="2669" width="36.5703125" style="143" customWidth="1"/>
    <col min="2670" max="2677" width="36.85546875" style="143" customWidth="1"/>
    <col min="2678" max="2678" width="36.5703125" style="143" customWidth="1"/>
    <col min="2679" max="2816" width="36.85546875" style="143"/>
    <col min="2817" max="2817" width="18.5703125" style="143" customWidth="1"/>
    <col min="2818" max="2826" width="31.42578125" style="143" customWidth="1"/>
    <col min="2827" max="2843" width="36.85546875" style="143" customWidth="1"/>
    <col min="2844" max="2844" width="37" style="143" customWidth="1"/>
    <col min="2845" max="2860" width="36.85546875" style="143" customWidth="1"/>
    <col min="2861" max="2861" width="37.140625" style="143" customWidth="1"/>
    <col min="2862" max="2863" width="36.85546875" style="143" customWidth="1"/>
    <col min="2864" max="2864" width="36.5703125" style="143" customWidth="1"/>
    <col min="2865" max="2866" width="36.85546875" style="143" customWidth="1"/>
    <col min="2867" max="2867" width="36.5703125" style="143" customWidth="1"/>
    <col min="2868" max="2868" width="37" style="143" customWidth="1"/>
    <col min="2869" max="2887" width="36.85546875" style="143" customWidth="1"/>
    <col min="2888" max="2888" width="37" style="143" customWidth="1"/>
    <col min="2889" max="2906" width="36.85546875" style="143" customWidth="1"/>
    <col min="2907" max="2907" width="36.5703125" style="143" customWidth="1"/>
    <col min="2908" max="2920" width="36.85546875" style="143" customWidth="1"/>
    <col min="2921" max="2921" width="36.5703125" style="143" customWidth="1"/>
    <col min="2922" max="2924" width="36.85546875" style="143" customWidth="1"/>
    <col min="2925" max="2925" width="36.5703125" style="143" customWidth="1"/>
    <col min="2926" max="2933" width="36.85546875" style="143" customWidth="1"/>
    <col min="2934" max="2934" width="36.5703125" style="143" customWidth="1"/>
    <col min="2935" max="3072" width="36.85546875" style="143"/>
    <col min="3073" max="3073" width="18.5703125" style="143" customWidth="1"/>
    <col min="3074" max="3082" width="31.42578125" style="143" customWidth="1"/>
    <col min="3083" max="3099" width="36.85546875" style="143" customWidth="1"/>
    <col min="3100" max="3100" width="37" style="143" customWidth="1"/>
    <col min="3101" max="3116" width="36.85546875" style="143" customWidth="1"/>
    <col min="3117" max="3117" width="37.140625" style="143" customWidth="1"/>
    <col min="3118" max="3119" width="36.85546875" style="143" customWidth="1"/>
    <col min="3120" max="3120" width="36.5703125" style="143" customWidth="1"/>
    <col min="3121" max="3122" width="36.85546875" style="143" customWidth="1"/>
    <col min="3123" max="3123" width="36.5703125" style="143" customWidth="1"/>
    <col min="3124" max="3124" width="37" style="143" customWidth="1"/>
    <col min="3125" max="3143" width="36.85546875" style="143" customWidth="1"/>
    <col min="3144" max="3144" width="37" style="143" customWidth="1"/>
    <col min="3145" max="3162" width="36.85546875" style="143" customWidth="1"/>
    <col min="3163" max="3163" width="36.5703125" style="143" customWidth="1"/>
    <col min="3164" max="3176" width="36.85546875" style="143" customWidth="1"/>
    <col min="3177" max="3177" width="36.5703125" style="143" customWidth="1"/>
    <col min="3178" max="3180" width="36.85546875" style="143" customWidth="1"/>
    <col min="3181" max="3181" width="36.5703125" style="143" customWidth="1"/>
    <col min="3182" max="3189" width="36.85546875" style="143" customWidth="1"/>
    <col min="3190" max="3190" width="36.5703125" style="143" customWidth="1"/>
    <col min="3191" max="3328" width="36.85546875" style="143"/>
    <col min="3329" max="3329" width="18.5703125" style="143" customWidth="1"/>
    <col min="3330" max="3338" width="31.42578125" style="143" customWidth="1"/>
    <col min="3339" max="3355" width="36.85546875" style="143" customWidth="1"/>
    <col min="3356" max="3356" width="37" style="143" customWidth="1"/>
    <col min="3357" max="3372" width="36.85546875" style="143" customWidth="1"/>
    <col min="3373" max="3373" width="37.140625" style="143" customWidth="1"/>
    <col min="3374" max="3375" width="36.85546875" style="143" customWidth="1"/>
    <col min="3376" max="3376" width="36.5703125" style="143" customWidth="1"/>
    <col min="3377" max="3378" width="36.85546875" style="143" customWidth="1"/>
    <col min="3379" max="3379" width="36.5703125" style="143" customWidth="1"/>
    <col min="3380" max="3380" width="37" style="143" customWidth="1"/>
    <col min="3381" max="3399" width="36.85546875" style="143" customWidth="1"/>
    <col min="3400" max="3400" width="37" style="143" customWidth="1"/>
    <col min="3401" max="3418" width="36.85546875" style="143" customWidth="1"/>
    <col min="3419" max="3419" width="36.5703125" style="143" customWidth="1"/>
    <col min="3420" max="3432" width="36.85546875" style="143" customWidth="1"/>
    <col min="3433" max="3433" width="36.5703125" style="143" customWidth="1"/>
    <col min="3434" max="3436" width="36.85546875" style="143" customWidth="1"/>
    <col min="3437" max="3437" width="36.5703125" style="143" customWidth="1"/>
    <col min="3438" max="3445" width="36.85546875" style="143" customWidth="1"/>
    <col min="3446" max="3446" width="36.5703125" style="143" customWidth="1"/>
    <col min="3447" max="3584" width="36.85546875" style="143"/>
    <col min="3585" max="3585" width="18.5703125" style="143" customWidth="1"/>
    <col min="3586" max="3594" width="31.42578125" style="143" customWidth="1"/>
    <col min="3595" max="3611" width="36.85546875" style="143" customWidth="1"/>
    <col min="3612" max="3612" width="37" style="143" customWidth="1"/>
    <col min="3613" max="3628" width="36.85546875" style="143" customWidth="1"/>
    <col min="3629" max="3629" width="37.140625" style="143" customWidth="1"/>
    <col min="3630" max="3631" width="36.85546875" style="143" customWidth="1"/>
    <col min="3632" max="3632" width="36.5703125" style="143" customWidth="1"/>
    <col min="3633" max="3634" width="36.85546875" style="143" customWidth="1"/>
    <col min="3635" max="3635" width="36.5703125" style="143" customWidth="1"/>
    <col min="3636" max="3636" width="37" style="143" customWidth="1"/>
    <col min="3637" max="3655" width="36.85546875" style="143" customWidth="1"/>
    <col min="3656" max="3656" width="37" style="143" customWidth="1"/>
    <col min="3657" max="3674" width="36.85546875" style="143" customWidth="1"/>
    <col min="3675" max="3675" width="36.5703125" style="143" customWidth="1"/>
    <col min="3676" max="3688" width="36.85546875" style="143" customWidth="1"/>
    <col min="3689" max="3689" width="36.5703125" style="143" customWidth="1"/>
    <col min="3690" max="3692" width="36.85546875" style="143" customWidth="1"/>
    <col min="3693" max="3693" width="36.5703125" style="143" customWidth="1"/>
    <col min="3694" max="3701" width="36.85546875" style="143" customWidth="1"/>
    <col min="3702" max="3702" width="36.5703125" style="143" customWidth="1"/>
    <col min="3703" max="3840" width="36.85546875" style="143"/>
    <col min="3841" max="3841" width="18.5703125" style="143" customWidth="1"/>
    <col min="3842" max="3850" width="31.42578125" style="143" customWidth="1"/>
    <col min="3851" max="3867" width="36.85546875" style="143" customWidth="1"/>
    <col min="3868" max="3868" width="37" style="143" customWidth="1"/>
    <col min="3869" max="3884" width="36.85546875" style="143" customWidth="1"/>
    <col min="3885" max="3885" width="37.140625" style="143" customWidth="1"/>
    <col min="3886" max="3887" width="36.85546875" style="143" customWidth="1"/>
    <col min="3888" max="3888" width="36.5703125" style="143" customWidth="1"/>
    <col min="3889" max="3890" width="36.85546875" style="143" customWidth="1"/>
    <col min="3891" max="3891" width="36.5703125" style="143" customWidth="1"/>
    <col min="3892" max="3892" width="37" style="143" customWidth="1"/>
    <col min="3893" max="3911" width="36.85546875" style="143" customWidth="1"/>
    <col min="3912" max="3912" width="37" style="143" customWidth="1"/>
    <col min="3913" max="3930" width="36.85546875" style="143" customWidth="1"/>
    <col min="3931" max="3931" width="36.5703125" style="143" customWidth="1"/>
    <col min="3932" max="3944" width="36.85546875" style="143" customWidth="1"/>
    <col min="3945" max="3945" width="36.5703125" style="143" customWidth="1"/>
    <col min="3946" max="3948" width="36.85546875" style="143" customWidth="1"/>
    <col min="3949" max="3949" width="36.5703125" style="143" customWidth="1"/>
    <col min="3950" max="3957" width="36.85546875" style="143" customWidth="1"/>
    <col min="3958" max="3958" width="36.5703125" style="143" customWidth="1"/>
    <col min="3959" max="4096" width="36.85546875" style="143"/>
    <col min="4097" max="4097" width="18.5703125" style="143" customWidth="1"/>
    <col min="4098" max="4106" width="31.42578125" style="143" customWidth="1"/>
    <col min="4107" max="4123" width="36.85546875" style="143" customWidth="1"/>
    <col min="4124" max="4124" width="37" style="143" customWidth="1"/>
    <col min="4125" max="4140" width="36.85546875" style="143" customWidth="1"/>
    <col min="4141" max="4141" width="37.140625" style="143" customWidth="1"/>
    <col min="4142" max="4143" width="36.85546875" style="143" customWidth="1"/>
    <col min="4144" max="4144" width="36.5703125" style="143" customWidth="1"/>
    <col min="4145" max="4146" width="36.85546875" style="143" customWidth="1"/>
    <col min="4147" max="4147" width="36.5703125" style="143" customWidth="1"/>
    <col min="4148" max="4148" width="37" style="143" customWidth="1"/>
    <col min="4149" max="4167" width="36.85546875" style="143" customWidth="1"/>
    <col min="4168" max="4168" width="37" style="143" customWidth="1"/>
    <col min="4169" max="4186" width="36.85546875" style="143" customWidth="1"/>
    <col min="4187" max="4187" width="36.5703125" style="143" customWidth="1"/>
    <col min="4188" max="4200" width="36.85546875" style="143" customWidth="1"/>
    <col min="4201" max="4201" width="36.5703125" style="143" customWidth="1"/>
    <col min="4202" max="4204" width="36.85546875" style="143" customWidth="1"/>
    <col min="4205" max="4205" width="36.5703125" style="143" customWidth="1"/>
    <col min="4206" max="4213" width="36.85546875" style="143" customWidth="1"/>
    <col min="4214" max="4214" width="36.5703125" style="143" customWidth="1"/>
    <col min="4215" max="4352" width="36.85546875" style="143"/>
    <col min="4353" max="4353" width="18.5703125" style="143" customWidth="1"/>
    <col min="4354" max="4362" width="31.42578125" style="143" customWidth="1"/>
    <col min="4363" max="4379" width="36.85546875" style="143" customWidth="1"/>
    <col min="4380" max="4380" width="37" style="143" customWidth="1"/>
    <col min="4381" max="4396" width="36.85546875" style="143" customWidth="1"/>
    <col min="4397" max="4397" width="37.140625" style="143" customWidth="1"/>
    <col min="4398" max="4399" width="36.85546875" style="143" customWidth="1"/>
    <col min="4400" max="4400" width="36.5703125" style="143" customWidth="1"/>
    <col min="4401" max="4402" width="36.85546875" style="143" customWidth="1"/>
    <col min="4403" max="4403" width="36.5703125" style="143" customWidth="1"/>
    <col min="4404" max="4404" width="37" style="143" customWidth="1"/>
    <col min="4405" max="4423" width="36.85546875" style="143" customWidth="1"/>
    <col min="4424" max="4424" width="37" style="143" customWidth="1"/>
    <col min="4425" max="4442" width="36.85546875" style="143" customWidth="1"/>
    <col min="4443" max="4443" width="36.5703125" style="143" customWidth="1"/>
    <col min="4444" max="4456" width="36.85546875" style="143" customWidth="1"/>
    <col min="4457" max="4457" width="36.5703125" style="143" customWidth="1"/>
    <col min="4458" max="4460" width="36.85546875" style="143" customWidth="1"/>
    <col min="4461" max="4461" width="36.5703125" style="143" customWidth="1"/>
    <col min="4462" max="4469" width="36.85546875" style="143" customWidth="1"/>
    <col min="4470" max="4470" width="36.5703125" style="143" customWidth="1"/>
    <col min="4471" max="4608" width="36.85546875" style="143"/>
    <col min="4609" max="4609" width="18.5703125" style="143" customWidth="1"/>
    <col min="4610" max="4618" width="31.42578125" style="143" customWidth="1"/>
    <col min="4619" max="4635" width="36.85546875" style="143" customWidth="1"/>
    <col min="4636" max="4636" width="37" style="143" customWidth="1"/>
    <col min="4637" max="4652" width="36.85546875" style="143" customWidth="1"/>
    <col min="4653" max="4653" width="37.140625" style="143" customWidth="1"/>
    <col min="4654" max="4655" width="36.85546875" style="143" customWidth="1"/>
    <col min="4656" max="4656" width="36.5703125" style="143" customWidth="1"/>
    <col min="4657" max="4658" width="36.85546875" style="143" customWidth="1"/>
    <col min="4659" max="4659" width="36.5703125" style="143" customWidth="1"/>
    <col min="4660" max="4660" width="37" style="143" customWidth="1"/>
    <col min="4661" max="4679" width="36.85546875" style="143" customWidth="1"/>
    <col min="4680" max="4680" width="37" style="143" customWidth="1"/>
    <col min="4681" max="4698" width="36.85546875" style="143" customWidth="1"/>
    <col min="4699" max="4699" width="36.5703125" style="143" customWidth="1"/>
    <col min="4700" max="4712" width="36.85546875" style="143" customWidth="1"/>
    <col min="4713" max="4713" width="36.5703125" style="143" customWidth="1"/>
    <col min="4714" max="4716" width="36.85546875" style="143" customWidth="1"/>
    <col min="4717" max="4717" width="36.5703125" style="143" customWidth="1"/>
    <col min="4718" max="4725" width="36.85546875" style="143" customWidth="1"/>
    <col min="4726" max="4726" width="36.5703125" style="143" customWidth="1"/>
    <col min="4727" max="4864" width="36.85546875" style="143"/>
    <col min="4865" max="4865" width="18.5703125" style="143" customWidth="1"/>
    <col min="4866" max="4874" width="31.42578125" style="143" customWidth="1"/>
    <col min="4875" max="4891" width="36.85546875" style="143" customWidth="1"/>
    <col min="4892" max="4892" width="37" style="143" customWidth="1"/>
    <col min="4893" max="4908" width="36.85546875" style="143" customWidth="1"/>
    <col min="4909" max="4909" width="37.140625" style="143" customWidth="1"/>
    <col min="4910" max="4911" width="36.85546875" style="143" customWidth="1"/>
    <col min="4912" max="4912" width="36.5703125" style="143" customWidth="1"/>
    <col min="4913" max="4914" width="36.85546875" style="143" customWidth="1"/>
    <col min="4915" max="4915" width="36.5703125" style="143" customWidth="1"/>
    <col min="4916" max="4916" width="37" style="143" customWidth="1"/>
    <col min="4917" max="4935" width="36.85546875" style="143" customWidth="1"/>
    <col min="4936" max="4936" width="37" style="143" customWidth="1"/>
    <col min="4937" max="4954" width="36.85546875" style="143" customWidth="1"/>
    <col min="4955" max="4955" width="36.5703125" style="143" customWidth="1"/>
    <col min="4956" max="4968" width="36.85546875" style="143" customWidth="1"/>
    <col min="4969" max="4969" width="36.5703125" style="143" customWidth="1"/>
    <col min="4970" max="4972" width="36.85546875" style="143" customWidth="1"/>
    <col min="4973" max="4973" width="36.5703125" style="143" customWidth="1"/>
    <col min="4974" max="4981" width="36.85546875" style="143" customWidth="1"/>
    <col min="4982" max="4982" width="36.5703125" style="143" customWidth="1"/>
    <col min="4983" max="5120" width="36.85546875" style="143"/>
    <col min="5121" max="5121" width="18.5703125" style="143" customWidth="1"/>
    <col min="5122" max="5130" width="31.42578125" style="143" customWidth="1"/>
    <col min="5131" max="5147" width="36.85546875" style="143" customWidth="1"/>
    <col min="5148" max="5148" width="37" style="143" customWidth="1"/>
    <col min="5149" max="5164" width="36.85546875" style="143" customWidth="1"/>
    <col min="5165" max="5165" width="37.140625" style="143" customWidth="1"/>
    <col min="5166" max="5167" width="36.85546875" style="143" customWidth="1"/>
    <col min="5168" max="5168" width="36.5703125" style="143" customWidth="1"/>
    <col min="5169" max="5170" width="36.85546875" style="143" customWidth="1"/>
    <col min="5171" max="5171" width="36.5703125" style="143" customWidth="1"/>
    <col min="5172" max="5172" width="37" style="143" customWidth="1"/>
    <col min="5173" max="5191" width="36.85546875" style="143" customWidth="1"/>
    <col min="5192" max="5192" width="37" style="143" customWidth="1"/>
    <col min="5193" max="5210" width="36.85546875" style="143" customWidth="1"/>
    <col min="5211" max="5211" width="36.5703125" style="143" customWidth="1"/>
    <col min="5212" max="5224" width="36.85546875" style="143" customWidth="1"/>
    <col min="5225" max="5225" width="36.5703125" style="143" customWidth="1"/>
    <col min="5226" max="5228" width="36.85546875" style="143" customWidth="1"/>
    <col min="5229" max="5229" width="36.5703125" style="143" customWidth="1"/>
    <col min="5230" max="5237" width="36.85546875" style="143" customWidth="1"/>
    <col min="5238" max="5238" width="36.5703125" style="143" customWidth="1"/>
    <col min="5239" max="5376" width="36.85546875" style="143"/>
    <col min="5377" max="5377" width="18.5703125" style="143" customWidth="1"/>
    <col min="5378" max="5386" width="31.42578125" style="143" customWidth="1"/>
    <col min="5387" max="5403" width="36.85546875" style="143" customWidth="1"/>
    <col min="5404" max="5404" width="37" style="143" customWidth="1"/>
    <col min="5405" max="5420" width="36.85546875" style="143" customWidth="1"/>
    <col min="5421" max="5421" width="37.140625" style="143" customWidth="1"/>
    <col min="5422" max="5423" width="36.85546875" style="143" customWidth="1"/>
    <col min="5424" max="5424" width="36.5703125" style="143" customWidth="1"/>
    <col min="5425" max="5426" width="36.85546875" style="143" customWidth="1"/>
    <col min="5427" max="5427" width="36.5703125" style="143" customWidth="1"/>
    <col min="5428" max="5428" width="37" style="143" customWidth="1"/>
    <col min="5429" max="5447" width="36.85546875" style="143" customWidth="1"/>
    <col min="5448" max="5448" width="37" style="143" customWidth="1"/>
    <col min="5449" max="5466" width="36.85546875" style="143" customWidth="1"/>
    <col min="5467" max="5467" width="36.5703125" style="143" customWidth="1"/>
    <col min="5468" max="5480" width="36.85546875" style="143" customWidth="1"/>
    <col min="5481" max="5481" width="36.5703125" style="143" customWidth="1"/>
    <col min="5482" max="5484" width="36.85546875" style="143" customWidth="1"/>
    <col min="5485" max="5485" width="36.5703125" style="143" customWidth="1"/>
    <col min="5486" max="5493" width="36.85546875" style="143" customWidth="1"/>
    <col min="5494" max="5494" width="36.5703125" style="143" customWidth="1"/>
    <col min="5495" max="5632" width="36.85546875" style="143"/>
    <col min="5633" max="5633" width="18.5703125" style="143" customWidth="1"/>
    <col min="5634" max="5642" width="31.42578125" style="143" customWidth="1"/>
    <col min="5643" max="5659" width="36.85546875" style="143" customWidth="1"/>
    <col min="5660" max="5660" width="37" style="143" customWidth="1"/>
    <col min="5661" max="5676" width="36.85546875" style="143" customWidth="1"/>
    <col min="5677" max="5677" width="37.140625" style="143" customWidth="1"/>
    <col min="5678" max="5679" width="36.85546875" style="143" customWidth="1"/>
    <col min="5680" max="5680" width="36.5703125" style="143" customWidth="1"/>
    <col min="5681" max="5682" width="36.85546875" style="143" customWidth="1"/>
    <col min="5683" max="5683" width="36.5703125" style="143" customWidth="1"/>
    <col min="5684" max="5684" width="37" style="143" customWidth="1"/>
    <col min="5685" max="5703" width="36.85546875" style="143" customWidth="1"/>
    <col min="5704" max="5704" width="37" style="143" customWidth="1"/>
    <col min="5705" max="5722" width="36.85546875" style="143" customWidth="1"/>
    <col min="5723" max="5723" width="36.5703125" style="143" customWidth="1"/>
    <col min="5724" max="5736" width="36.85546875" style="143" customWidth="1"/>
    <col min="5737" max="5737" width="36.5703125" style="143" customWidth="1"/>
    <col min="5738" max="5740" width="36.85546875" style="143" customWidth="1"/>
    <col min="5741" max="5741" width="36.5703125" style="143" customWidth="1"/>
    <col min="5742" max="5749" width="36.85546875" style="143" customWidth="1"/>
    <col min="5750" max="5750" width="36.5703125" style="143" customWidth="1"/>
    <col min="5751" max="5888" width="36.85546875" style="143"/>
    <col min="5889" max="5889" width="18.5703125" style="143" customWidth="1"/>
    <col min="5890" max="5898" width="31.42578125" style="143" customWidth="1"/>
    <col min="5899" max="5915" width="36.85546875" style="143" customWidth="1"/>
    <col min="5916" max="5916" width="37" style="143" customWidth="1"/>
    <col min="5917" max="5932" width="36.85546875" style="143" customWidth="1"/>
    <col min="5933" max="5933" width="37.140625" style="143" customWidth="1"/>
    <col min="5934" max="5935" width="36.85546875" style="143" customWidth="1"/>
    <col min="5936" max="5936" width="36.5703125" style="143" customWidth="1"/>
    <col min="5937" max="5938" width="36.85546875" style="143" customWidth="1"/>
    <col min="5939" max="5939" width="36.5703125" style="143" customWidth="1"/>
    <col min="5940" max="5940" width="37" style="143" customWidth="1"/>
    <col min="5941" max="5959" width="36.85546875" style="143" customWidth="1"/>
    <col min="5960" max="5960" width="37" style="143" customWidth="1"/>
    <col min="5961" max="5978" width="36.85546875" style="143" customWidth="1"/>
    <col min="5979" max="5979" width="36.5703125" style="143" customWidth="1"/>
    <col min="5980" max="5992" width="36.85546875" style="143" customWidth="1"/>
    <col min="5993" max="5993" width="36.5703125" style="143" customWidth="1"/>
    <col min="5994" max="5996" width="36.85546875" style="143" customWidth="1"/>
    <col min="5997" max="5997" width="36.5703125" style="143" customWidth="1"/>
    <col min="5998" max="6005" width="36.85546875" style="143" customWidth="1"/>
    <col min="6006" max="6006" width="36.5703125" style="143" customWidth="1"/>
    <col min="6007" max="6144" width="36.85546875" style="143"/>
    <col min="6145" max="6145" width="18.5703125" style="143" customWidth="1"/>
    <col min="6146" max="6154" width="31.42578125" style="143" customWidth="1"/>
    <col min="6155" max="6171" width="36.85546875" style="143" customWidth="1"/>
    <col min="6172" max="6172" width="37" style="143" customWidth="1"/>
    <col min="6173" max="6188" width="36.85546875" style="143" customWidth="1"/>
    <col min="6189" max="6189" width="37.140625" style="143" customWidth="1"/>
    <col min="6190" max="6191" width="36.85546875" style="143" customWidth="1"/>
    <col min="6192" max="6192" width="36.5703125" style="143" customWidth="1"/>
    <col min="6193" max="6194" width="36.85546875" style="143" customWidth="1"/>
    <col min="6195" max="6195" width="36.5703125" style="143" customWidth="1"/>
    <col min="6196" max="6196" width="37" style="143" customWidth="1"/>
    <col min="6197" max="6215" width="36.85546875" style="143" customWidth="1"/>
    <col min="6216" max="6216" width="37" style="143" customWidth="1"/>
    <col min="6217" max="6234" width="36.85546875" style="143" customWidth="1"/>
    <col min="6235" max="6235" width="36.5703125" style="143" customWidth="1"/>
    <col min="6236" max="6248" width="36.85546875" style="143" customWidth="1"/>
    <col min="6249" max="6249" width="36.5703125" style="143" customWidth="1"/>
    <col min="6250" max="6252" width="36.85546875" style="143" customWidth="1"/>
    <col min="6253" max="6253" width="36.5703125" style="143" customWidth="1"/>
    <col min="6254" max="6261" width="36.85546875" style="143" customWidth="1"/>
    <col min="6262" max="6262" width="36.5703125" style="143" customWidth="1"/>
    <col min="6263" max="6400" width="36.85546875" style="143"/>
    <col min="6401" max="6401" width="18.5703125" style="143" customWidth="1"/>
    <col min="6402" max="6410" width="31.42578125" style="143" customWidth="1"/>
    <col min="6411" max="6427" width="36.85546875" style="143" customWidth="1"/>
    <col min="6428" max="6428" width="37" style="143" customWidth="1"/>
    <col min="6429" max="6444" width="36.85546875" style="143" customWidth="1"/>
    <col min="6445" max="6445" width="37.140625" style="143" customWidth="1"/>
    <col min="6446" max="6447" width="36.85546875" style="143" customWidth="1"/>
    <col min="6448" max="6448" width="36.5703125" style="143" customWidth="1"/>
    <col min="6449" max="6450" width="36.85546875" style="143" customWidth="1"/>
    <col min="6451" max="6451" width="36.5703125" style="143" customWidth="1"/>
    <col min="6452" max="6452" width="37" style="143" customWidth="1"/>
    <col min="6453" max="6471" width="36.85546875" style="143" customWidth="1"/>
    <col min="6472" max="6472" width="37" style="143" customWidth="1"/>
    <col min="6473" max="6490" width="36.85546875" style="143" customWidth="1"/>
    <col min="6491" max="6491" width="36.5703125" style="143" customWidth="1"/>
    <col min="6492" max="6504" width="36.85546875" style="143" customWidth="1"/>
    <col min="6505" max="6505" width="36.5703125" style="143" customWidth="1"/>
    <col min="6506" max="6508" width="36.85546875" style="143" customWidth="1"/>
    <col min="6509" max="6509" width="36.5703125" style="143" customWidth="1"/>
    <col min="6510" max="6517" width="36.85546875" style="143" customWidth="1"/>
    <col min="6518" max="6518" width="36.5703125" style="143" customWidth="1"/>
    <col min="6519" max="6656" width="36.85546875" style="143"/>
    <col min="6657" max="6657" width="18.5703125" style="143" customWidth="1"/>
    <col min="6658" max="6666" width="31.42578125" style="143" customWidth="1"/>
    <col min="6667" max="6683" width="36.85546875" style="143" customWidth="1"/>
    <col min="6684" max="6684" width="37" style="143" customWidth="1"/>
    <col min="6685" max="6700" width="36.85546875" style="143" customWidth="1"/>
    <col min="6701" max="6701" width="37.140625" style="143" customWidth="1"/>
    <col min="6702" max="6703" width="36.85546875" style="143" customWidth="1"/>
    <col min="6704" max="6704" width="36.5703125" style="143" customWidth="1"/>
    <col min="6705" max="6706" width="36.85546875" style="143" customWidth="1"/>
    <col min="6707" max="6707" width="36.5703125" style="143" customWidth="1"/>
    <col min="6708" max="6708" width="37" style="143" customWidth="1"/>
    <col min="6709" max="6727" width="36.85546875" style="143" customWidth="1"/>
    <col min="6728" max="6728" width="37" style="143" customWidth="1"/>
    <col min="6729" max="6746" width="36.85546875" style="143" customWidth="1"/>
    <col min="6747" max="6747" width="36.5703125" style="143" customWidth="1"/>
    <col min="6748" max="6760" width="36.85546875" style="143" customWidth="1"/>
    <col min="6761" max="6761" width="36.5703125" style="143" customWidth="1"/>
    <col min="6762" max="6764" width="36.85546875" style="143" customWidth="1"/>
    <col min="6765" max="6765" width="36.5703125" style="143" customWidth="1"/>
    <col min="6766" max="6773" width="36.85546875" style="143" customWidth="1"/>
    <col min="6774" max="6774" width="36.5703125" style="143" customWidth="1"/>
    <col min="6775" max="6912" width="36.85546875" style="143"/>
    <col min="6913" max="6913" width="18.5703125" style="143" customWidth="1"/>
    <col min="6914" max="6922" width="31.42578125" style="143" customWidth="1"/>
    <col min="6923" max="6939" width="36.85546875" style="143" customWidth="1"/>
    <col min="6940" max="6940" width="37" style="143" customWidth="1"/>
    <col min="6941" max="6956" width="36.85546875" style="143" customWidth="1"/>
    <col min="6957" max="6957" width="37.140625" style="143" customWidth="1"/>
    <col min="6958" max="6959" width="36.85546875" style="143" customWidth="1"/>
    <col min="6960" max="6960" width="36.5703125" style="143" customWidth="1"/>
    <col min="6961" max="6962" width="36.85546875" style="143" customWidth="1"/>
    <col min="6963" max="6963" width="36.5703125" style="143" customWidth="1"/>
    <col min="6964" max="6964" width="37" style="143" customWidth="1"/>
    <col min="6965" max="6983" width="36.85546875" style="143" customWidth="1"/>
    <col min="6984" max="6984" width="37" style="143" customWidth="1"/>
    <col min="6985" max="7002" width="36.85546875" style="143" customWidth="1"/>
    <col min="7003" max="7003" width="36.5703125" style="143" customWidth="1"/>
    <col min="7004" max="7016" width="36.85546875" style="143" customWidth="1"/>
    <col min="7017" max="7017" width="36.5703125" style="143" customWidth="1"/>
    <col min="7018" max="7020" width="36.85546875" style="143" customWidth="1"/>
    <col min="7021" max="7021" width="36.5703125" style="143" customWidth="1"/>
    <col min="7022" max="7029" width="36.85546875" style="143" customWidth="1"/>
    <col min="7030" max="7030" width="36.5703125" style="143" customWidth="1"/>
    <col min="7031" max="7168" width="36.85546875" style="143"/>
    <col min="7169" max="7169" width="18.5703125" style="143" customWidth="1"/>
    <col min="7170" max="7178" width="31.42578125" style="143" customWidth="1"/>
    <col min="7179" max="7195" width="36.85546875" style="143" customWidth="1"/>
    <col min="7196" max="7196" width="37" style="143" customWidth="1"/>
    <col min="7197" max="7212" width="36.85546875" style="143" customWidth="1"/>
    <col min="7213" max="7213" width="37.140625" style="143" customWidth="1"/>
    <col min="7214" max="7215" width="36.85546875" style="143" customWidth="1"/>
    <col min="7216" max="7216" width="36.5703125" style="143" customWidth="1"/>
    <col min="7217" max="7218" width="36.85546875" style="143" customWidth="1"/>
    <col min="7219" max="7219" width="36.5703125" style="143" customWidth="1"/>
    <col min="7220" max="7220" width="37" style="143" customWidth="1"/>
    <col min="7221" max="7239" width="36.85546875" style="143" customWidth="1"/>
    <col min="7240" max="7240" width="37" style="143" customWidth="1"/>
    <col min="7241" max="7258" width="36.85546875" style="143" customWidth="1"/>
    <col min="7259" max="7259" width="36.5703125" style="143" customWidth="1"/>
    <col min="7260" max="7272" width="36.85546875" style="143" customWidth="1"/>
    <col min="7273" max="7273" width="36.5703125" style="143" customWidth="1"/>
    <col min="7274" max="7276" width="36.85546875" style="143" customWidth="1"/>
    <col min="7277" max="7277" width="36.5703125" style="143" customWidth="1"/>
    <col min="7278" max="7285" width="36.85546875" style="143" customWidth="1"/>
    <col min="7286" max="7286" width="36.5703125" style="143" customWidth="1"/>
    <col min="7287" max="7424" width="36.85546875" style="143"/>
    <col min="7425" max="7425" width="18.5703125" style="143" customWidth="1"/>
    <col min="7426" max="7434" width="31.42578125" style="143" customWidth="1"/>
    <col min="7435" max="7451" width="36.85546875" style="143" customWidth="1"/>
    <col min="7452" max="7452" width="37" style="143" customWidth="1"/>
    <col min="7453" max="7468" width="36.85546875" style="143" customWidth="1"/>
    <col min="7469" max="7469" width="37.140625" style="143" customWidth="1"/>
    <col min="7470" max="7471" width="36.85546875" style="143" customWidth="1"/>
    <col min="7472" max="7472" width="36.5703125" style="143" customWidth="1"/>
    <col min="7473" max="7474" width="36.85546875" style="143" customWidth="1"/>
    <col min="7475" max="7475" width="36.5703125" style="143" customWidth="1"/>
    <col min="7476" max="7476" width="37" style="143" customWidth="1"/>
    <col min="7477" max="7495" width="36.85546875" style="143" customWidth="1"/>
    <col min="7496" max="7496" width="37" style="143" customWidth="1"/>
    <col min="7497" max="7514" width="36.85546875" style="143" customWidth="1"/>
    <col min="7515" max="7515" width="36.5703125" style="143" customWidth="1"/>
    <col min="7516" max="7528" width="36.85546875" style="143" customWidth="1"/>
    <col min="7529" max="7529" width="36.5703125" style="143" customWidth="1"/>
    <col min="7530" max="7532" width="36.85546875" style="143" customWidth="1"/>
    <col min="7533" max="7533" width="36.5703125" style="143" customWidth="1"/>
    <col min="7534" max="7541" width="36.85546875" style="143" customWidth="1"/>
    <col min="7542" max="7542" width="36.5703125" style="143" customWidth="1"/>
    <col min="7543" max="7680" width="36.85546875" style="143"/>
    <col min="7681" max="7681" width="18.5703125" style="143" customWidth="1"/>
    <col min="7682" max="7690" width="31.42578125" style="143" customWidth="1"/>
    <col min="7691" max="7707" width="36.85546875" style="143" customWidth="1"/>
    <col min="7708" max="7708" width="37" style="143" customWidth="1"/>
    <col min="7709" max="7724" width="36.85546875" style="143" customWidth="1"/>
    <col min="7725" max="7725" width="37.140625" style="143" customWidth="1"/>
    <col min="7726" max="7727" width="36.85546875" style="143" customWidth="1"/>
    <col min="7728" max="7728" width="36.5703125" style="143" customWidth="1"/>
    <col min="7729" max="7730" width="36.85546875" style="143" customWidth="1"/>
    <col min="7731" max="7731" width="36.5703125" style="143" customWidth="1"/>
    <col min="7732" max="7732" width="37" style="143" customWidth="1"/>
    <col min="7733" max="7751" width="36.85546875" style="143" customWidth="1"/>
    <col min="7752" max="7752" width="37" style="143" customWidth="1"/>
    <col min="7753" max="7770" width="36.85546875" style="143" customWidth="1"/>
    <col min="7771" max="7771" width="36.5703125" style="143" customWidth="1"/>
    <col min="7772" max="7784" width="36.85546875" style="143" customWidth="1"/>
    <col min="7785" max="7785" width="36.5703125" style="143" customWidth="1"/>
    <col min="7786" max="7788" width="36.85546875" style="143" customWidth="1"/>
    <col min="7789" max="7789" width="36.5703125" style="143" customWidth="1"/>
    <col min="7790" max="7797" width="36.85546875" style="143" customWidth="1"/>
    <col min="7798" max="7798" width="36.5703125" style="143" customWidth="1"/>
    <col min="7799" max="7936" width="36.85546875" style="143"/>
    <col min="7937" max="7937" width="18.5703125" style="143" customWidth="1"/>
    <col min="7938" max="7946" width="31.42578125" style="143" customWidth="1"/>
    <col min="7947" max="7963" width="36.85546875" style="143" customWidth="1"/>
    <col min="7964" max="7964" width="37" style="143" customWidth="1"/>
    <col min="7965" max="7980" width="36.85546875" style="143" customWidth="1"/>
    <col min="7981" max="7981" width="37.140625" style="143" customWidth="1"/>
    <col min="7982" max="7983" width="36.85546875" style="143" customWidth="1"/>
    <col min="7984" max="7984" width="36.5703125" style="143" customWidth="1"/>
    <col min="7985" max="7986" width="36.85546875" style="143" customWidth="1"/>
    <col min="7987" max="7987" width="36.5703125" style="143" customWidth="1"/>
    <col min="7988" max="7988" width="37" style="143" customWidth="1"/>
    <col min="7989" max="8007" width="36.85546875" style="143" customWidth="1"/>
    <col min="8008" max="8008" width="37" style="143" customWidth="1"/>
    <col min="8009" max="8026" width="36.85546875" style="143" customWidth="1"/>
    <col min="8027" max="8027" width="36.5703125" style="143" customWidth="1"/>
    <col min="8028" max="8040" width="36.85546875" style="143" customWidth="1"/>
    <col min="8041" max="8041" width="36.5703125" style="143" customWidth="1"/>
    <col min="8042" max="8044" width="36.85546875" style="143" customWidth="1"/>
    <col min="8045" max="8045" width="36.5703125" style="143" customWidth="1"/>
    <col min="8046" max="8053" width="36.85546875" style="143" customWidth="1"/>
    <col min="8054" max="8054" width="36.5703125" style="143" customWidth="1"/>
    <col min="8055" max="8192" width="36.85546875" style="143"/>
    <col min="8193" max="8193" width="18.5703125" style="143" customWidth="1"/>
    <col min="8194" max="8202" width="31.42578125" style="143" customWidth="1"/>
    <col min="8203" max="8219" width="36.85546875" style="143" customWidth="1"/>
    <col min="8220" max="8220" width="37" style="143" customWidth="1"/>
    <col min="8221" max="8236" width="36.85546875" style="143" customWidth="1"/>
    <col min="8237" max="8237" width="37.140625" style="143" customWidth="1"/>
    <col min="8238" max="8239" width="36.85546875" style="143" customWidth="1"/>
    <col min="8240" max="8240" width="36.5703125" style="143" customWidth="1"/>
    <col min="8241" max="8242" width="36.85546875" style="143" customWidth="1"/>
    <col min="8243" max="8243" width="36.5703125" style="143" customWidth="1"/>
    <col min="8244" max="8244" width="37" style="143" customWidth="1"/>
    <col min="8245" max="8263" width="36.85546875" style="143" customWidth="1"/>
    <col min="8264" max="8264" width="37" style="143" customWidth="1"/>
    <col min="8265" max="8282" width="36.85546875" style="143" customWidth="1"/>
    <col min="8283" max="8283" width="36.5703125" style="143" customWidth="1"/>
    <col min="8284" max="8296" width="36.85546875" style="143" customWidth="1"/>
    <col min="8297" max="8297" width="36.5703125" style="143" customWidth="1"/>
    <col min="8298" max="8300" width="36.85546875" style="143" customWidth="1"/>
    <col min="8301" max="8301" width="36.5703125" style="143" customWidth="1"/>
    <col min="8302" max="8309" width="36.85546875" style="143" customWidth="1"/>
    <col min="8310" max="8310" width="36.5703125" style="143" customWidth="1"/>
    <col min="8311" max="8448" width="36.85546875" style="143"/>
    <col min="8449" max="8449" width="18.5703125" style="143" customWidth="1"/>
    <col min="8450" max="8458" width="31.42578125" style="143" customWidth="1"/>
    <col min="8459" max="8475" width="36.85546875" style="143" customWidth="1"/>
    <col min="8476" max="8476" width="37" style="143" customWidth="1"/>
    <col min="8477" max="8492" width="36.85546875" style="143" customWidth="1"/>
    <col min="8493" max="8493" width="37.140625" style="143" customWidth="1"/>
    <col min="8494" max="8495" width="36.85546875" style="143" customWidth="1"/>
    <col min="8496" max="8496" width="36.5703125" style="143" customWidth="1"/>
    <col min="8497" max="8498" width="36.85546875" style="143" customWidth="1"/>
    <col min="8499" max="8499" width="36.5703125" style="143" customWidth="1"/>
    <col min="8500" max="8500" width="37" style="143" customWidth="1"/>
    <col min="8501" max="8519" width="36.85546875" style="143" customWidth="1"/>
    <col min="8520" max="8520" width="37" style="143" customWidth="1"/>
    <col min="8521" max="8538" width="36.85546875" style="143" customWidth="1"/>
    <col min="8539" max="8539" width="36.5703125" style="143" customWidth="1"/>
    <col min="8540" max="8552" width="36.85546875" style="143" customWidth="1"/>
    <col min="8553" max="8553" width="36.5703125" style="143" customWidth="1"/>
    <col min="8554" max="8556" width="36.85546875" style="143" customWidth="1"/>
    <col min="8557" max="8557" width="36.5703125" style="143" customWidth="1"/>
    <col min="8558" max="8565" width="36.85546875" style="143" customWidth="1"/>
    <col min="8566" max="8566" width="36.5703125" style="143" customWidth="1"/>
    <col min="8567" max="8704" width="36.85546875" style="143"/>
    <col min="8705" max="8705" width="18.5703125" style="143" customWidth="1"/>
    <col min="8706" max="8714" width="31.42578125" style="143" customWidth="1"/>
    <col min="8715" max="8731" width="36.85546875" style="143" customWidth="1"/>
    <col min="8732" max="8732" width="37" style="143" customWidth="1"/>
    <col min="8733" max="8748" width="36.85546875" style="143" customWidth="1"/>
    <col min="8749" max="8749" width="37.140625" style="143" customWidth="1"/>
    <col min="8750" max="8751" width="36.85546875" style="143" customWidth="1"/>
    <col min="8752" max="8752" width="36.5703125" style="143" customWidth="1"/>
    <col min="8753" max="8754" width="36.85546875" style="143" customWidth="1"/>
    <col min="8755" max="8755" width="36.5703125" style="143" customWidth="1"/>
    <col min="8756" max="8756" width="37" style="143" customWidth="1"/>
    <col min="8757" max="8775" width="36.85546875" style="143" customWidth="1"/>
    <col min="8776" max="8776" width="37" style="143" customWidth="1"/>
    <col min="8777" max="8794" width="36.85546875" style="143" customWidth="1"/>
    <col min="8795" max="8795" width="36.5703125" style="143" customWidth="1"/>
    <col min="8796" max="8808" width="36.85546875" style="143" customWidth="1"/>
    <col min="8809" max="8809" width="36.5703125" style="143" customWidth="1"/>
    <col min="8810" max="8812" width="36.85546875" style="143" customWidth="1"/>
    <col min="8813" max="8813" width="36.5703125" style="143" customWidth="1"/>
    <col min="8814" max="8821" width="36.85546875" style="143" customWidth="1"/>
    <col min="8822" max="8822" width="36.5703125" style="143" customWidth="1"/>
    <col min="8823" max="8960" width="36.85546875" style="143"/>
    <col min="8961" max="8961" width="18.5703125" style="143" customWidth="1"/>
    <col min="8962" max="8970" width="31.42578125" style="143" customWidth="1"/>
    <col min="8971" max="8987" width="36.85546875" style="143" customWidth="1"/>
    <col min="8988" max="8988" width="37" style="143" customWidth="1"/>
    <col min="8989" max="9004" width="36.85546875" style="143" customWidth="1"/>
    <col min="9005" max="9005" width="37.140625" style="143" customWidth="1"/>
    <col min="9006" max="9007" width="36.85546875" style="143" customWidth="1"/>
    <col min="9008" max="9008" width="36.5703125" style="143" customWidth="1"/>
    <col min="9009" max="9010" width="36.85546875" style="143" customWidth="1"/>
    <col min="9011" max="9011" width="36.5703125" style="143" customWidth="1"/>
    <col min="9012" max="9012" width="37" style="143" customWidth="1"/>
    <col min="9013" max="9031" width="36.85546875" style="143" customWidth="1"/>
    <col min="9032" max="9032" width="37" style="143" customWidth="1"/>
    <col min="9033" max="9050" width="36.85546875" style="143" customWidth="1"/>
    <col min="9051" max="9051" width="36.5703125" style="143" customWidth="1"/>
    <col min="9052" max="9064" width="36.85546875" style="143" customWidth="1"/>
    <col min="9065" max="9065" width="36.5703125" style="143" customWidth="1"/>
    <col min="9066" max="9068" width="36.85546875" style="143" customWidth="1"/>
    <col min="9069" max="9069" width="36.5703125" style="143" customWidth="1"/>
    <col min="9070" max="9077" width="36.85546875" style="143" customWidth="1"/>
    <col min="9078" max="9078" width="36.5703125" style="143" customWidth="1"/>
    <col min="9079" max="9216" width="36.85546875" style="143"/>
    <col min="9217" max="9217" width="18.5703125" style="143" customWidth="1"/>
    <col min="9218" max="9226" width="31.42578125" style="143" customWidth="1"/>
    <col min="9227" max="9243" width="36.85546875" style="143" customWidth="1"/>
    <col min="9244" max="9244" width="37" style="143" customWidth="1"/>
    <col min="9245" max="9260" width="36.85546875" style="143" customWidth="1"/>
    <col min="9261" max="9261" width="37.140625" style="143" customWidth="1"/>
    <col min="9262" max="9263" width="36.85546875" style="143" customWidth="1"/>
    <col min="9264" max="9264" width="36.5703125" style="143" customWidth="1"/>
    <col min="9265" max="9266" width="36.85546875" style="143" customWidth="1"/>
    <col min="9267" max="9267" width="36.5703125" style="143" customWidth="1"/>
    <col min="9268" max="9268" width="37" style="143" customWidth="1"/>
    <col min="9269" max="9287" width="36.85546875" style="143" customWidth="1"/>
    <col min="9288" max="9288" width="37" style="143" customWidth="1"/>
    <col min="9289" max="9306" width="36.85546875" style="143" customWidth="1"/>
    <col min="9307" max="9307" width="36.5703125" style="143" customWidth="1"/>
    <col min="9308" max="9320" width="36.85546875" style="143" customWidth="1"/>
    <col min="9321" max="9321" width="36.5703125" style="143" customWidth="1"/>
    <col min="9322" max="9324" width="36.85546875" style="143" customWidth="1"/>
    <col min="9325" max="9325" width="36.5703125" style="143" customWidth="1"/>
    <col min="9326" max="9333" width="36.85546875" style="143" customWidth="1"/>
    <col min="9334" max="9334" width="36.5703125" style="143" customWidth="1"/>
    <col min="9335" max="9472" width="36.85546875" style="143"/>
    <col min="9473" max="9473" width="18.5703125" style="143" customWidth="1"/>
    <col min="9474" max="9482" width="31.42578125" style="143" customWidth="1"/>
    <col min="9483" max="9499" width="36.85546875" style="143" customWidth="1"/>
    <col min="9500" max="9500" width="37" style="143" customWidth="1"/>
    <col min="9501" max="9516" width="36.85546875" style="143" customWidth="1"/>
    <col min="9517" max="9517" width="37.140625" style="143" customWidth="1"/>
    <col min="9518" max="9519" width="36.85546875" style="143" customWidth="1"/>
    <col min="9520" max="9520" width="36.5703125" style="143" customWidth="1"/>
    <col min="9521" max="9522" width="36.85546875" style="143" customWidth="1"/>
    <col min="9523" max="9523" width="36.5703125" style="143" customWidth="1"/>
    <col min="9524" max="9524" width="37" style="143" customWidth="1"/>
    <col min="9525" max="9543" width="36.85546875" style="143" customWidth="1"/>
    <col min="9544" max="9544" width="37" style="143" customWidth="1"/>
    <col min="9545" max="9562" width="36.85546875" style="143" customWidth="1"/>
    <col min="9563" max="9563" width="36.5703125" style="143" customWidth="1"/>
    <col min="9564" max="9576" width="36.85546875" style="143" customWidth="1"/>
    <col min="9577" max="9577" width="36.5703125" style="143" customWidth="1"/>
    <col min="9578" max="9580" width="36.85546875" style="143" customWidth="1"/>
    <col min="9581" max="9581" width="36.5703125" style="143" customWidth="1"/>
    <col min="9582" max="9589" width="36.85546875" style="143" customWidth="1"/>
    <col min="9590" max="9590" width="36.5703125" style="143" customWidth="1"/>
    <col min="9591" max="9728" width="36.85546875" style="143"/>
    <col min="9729" max="9729" width="18.5703125" style="143" customWidth="1"/>
    <col min="9730" max="9738" width="31.42578125" style="143" customWidth="1"/>
    <col min="9739" max="9755" width="36.85546875" style="143" customWidth="1"/>
    <col min="9756" max="9756" width="37" style="143" customWidth="1"/>
    <col min="9757" max="9772" width="36.85546875" style="143" customWidth="1"/>
    <col min="9773" max="9773" width="37.140625" style="143" customWidth="1"/>
    <col min="9774" max="9775" width="36.85546875" style="143" customWidth="1"/>
    <col min="9776" max="9776" width="36.5703125" style="143" customWidth="1"/>
    <col min="9777" max="9778" width="36.85546875" style="143" customWidth="1"/>
    <col min="9779" max="9779" width="36.5703125" style="143" customWidth="1"/>
    <col min="9780" max="9780" width="37" style="143" customWidth="1"/>
    <col min="9781" max="9799" width="36.85546875" style="143" customWidth="1"/>
    <col min="9800" max="9800" width="37" style="143" customWidth="1"/>
    <col min="9801" max="9818" width="36.85546875" style="143" customWidth="1"/>
    <col min="9819" max="9819" width="36.5703125" style="143" customWidth="1"/>
    <col min="9820" max="9832" width="36.85546875" style="143" customWidth="1"/>
    <col min="9833" max="9833" width="36.5703125" style="143" customWidth="1"/>
    <col min="9834" max="9836" width="36.85546875" style="143" customWidth="1"/>
    <col min="9837" max="9837" width="36.5703125" style="143" customWidth="1"/>
    <col min="9838" max="9845" width="36.85546875" style="143" customWidth="1"/>
    <col min="9846" max="9846" width="36.5703125" style="143" customWidth="1"/>
    <col min="9847" max="9984" width="36.85546875" style="143"/>
    <col min="9985" max="9985" width="18.5703125" style="143" customWidth="1"/>
    <col min="9986" max="9994" width="31.42578125" style="143" customWidth="1"/>
    <col min="9995" max="10011" width="36.85546875" style="143" customWidth="1"/>
    <col min="10012" max="10012" width="37" style="143" customWidth="1"/>
    <col min="10013" max="10028" width="36.85546875" style="143" customWidth="1"/>
    <col min="10029" max="10029" width="37.140625" style="143" customWidth="1"/>
    <col min="10030" max="10031" width="36.85546875" style="143" customWidth="1"/>
    <col min="10032" max="10032" width="36.5703125" style="143" customWidth="1"/>
    <col min="10033" max="10034" width="36.85546875" style="143" customWidth="1"/>
    <col min="10035" max="10035" width="36.5703125" style="143" customWidth="1"/>
    <col min="10036" max="10036" width="37" style="143" customWidth="1"/>
    <col min="10037" max="10055" width="36.85546875" style="143" customWidth="1"/>
    <col min="10056" max="10056" width="37" style="143" customWidth="1"/>
    <col min="10057" max="10074" width="36.85546875" style="143" customWidth="1"/>
    <col min="10075" max="10075" width="36.5703125" style="143" customWidth="1"/>
    <col min="10076" max="10088" width="36.85546875" style="143" customWidth="1"/>
    <col min="10089" max="10089" width="36.5703125" style="143" customWidth="1"/>
    <col min="10090" max="10092" width="36.85546875" style="143" customWidth="1"/>
    <col min="10093" max="10093" width="36.5703125" style="143" customWidth="1"/>
    <col min="10094" max="10101" width="36.85546875" style="143" customWidth="1"/>
    <col min="10102" max="10102" width="36.5703125" style="143" customWidth="1"/>
    <col min="10103" max="10240" width="36.85546875" style="143"/>
    <col min="10241" max="10241" width="18.5703125" style="143" customWidth="1"/>
    <col min="10242" max="10250" width="31.42578125" style="143" customWidth="1"/>
    <col min="10251" max="10267" width="36.85546875" style="143" customWidth="1"/>
    <col min="10268" max="10268" width="37" style="143" customWidth="1"/>
    <col min="10269" max="10284" width="36.85546875" style="143" customWidth="1"/>
    <col min="10285" max="10285" width="37.140625" style="143" customWidth="1"/>
    <col min="10286" max="10287" width="36.85546875" style="143" customWidth="1"/>
    <col min="10288" max="10288" width="36.5703125" style="143" customWidth="1"/>
    <col min="10289" max="10290" width="36.85546875" style="143" customWidth="1"/>
    <col min="10291" max="10291" width="36.5703125" style="143" customWidth="1"/>
    <col min="10292" max="10292" width="37" style="143" customWidth="1"/>
    <col min="10293" max="10311" width="36.85546875" style="143" customWidth="1"/>
    <col min="10312" max="10312" width="37" style="143" customWidth="1"/>
    <col min="10313" max="10330" width="36.85546875" style="143" customWidth="1"/>
    <col min="10331" max="10331" width="36.5703125" style="143" customWidth="1"/>
    <col min="10332" max="10344" width="36.85546875" style="143" customWidth="1"/>
    <col min="10345" max="10345" width="36.5703125" style="143" customWidth="1"/>
    <col min="10346" max="10348" width="36.85546875" style="143" customWidth="1"/>
    <col min="10349" max="10349" width="36.5703125" style="143" customWidth="1"/>
    <col min="10350" max="10357" width="36.85546875" style="143" customWidth="1"/>
    <col min="10358" max="10358" width="36.5703125" style="143" customWidth="1"/>
    <col min="10359" max="10496" width="36.85546875" style="143"/>
    <col min="10497" max="10497" width="18.5703125" style="143" customWidth="1"/>
    <col min="10498" max="10506" width="31.42578125" style="143" customWidth="1"/>
    <col min="10507" max="10523" width="36.85546875" style="143" customWidth="1"/>
    <col min="10524" max="10524" width="37" style="143" customWidth="1"/>
    <col min="10525" max="10540" width="36.85546875" style="143" customWidth="1"/>
    <col min="10541" max="10541" width="37.140625" style="143" customWidth="1"/>
    <col min="10542" max="10543" width="36.85546875" style="143" customWidth="1"/>
    <col min="10544" max="10544" width="36.5703125" style="143" customWidth="1"/>
    <col min="10545" max="10546" width="36.85546875" style="143" customWidth="1"/>
    <col min="10547" max="10547" width="36.5703125" style="143" customWidth="1"/>
    <col min="10548" max="10548" width="37" style="143" customWidth="1"/>
    <col min="10549" max="10567" width="36.85546875" style="143" customWidth="1"/>
    <col min="10568" max="10568" width="37" style="143" customWidth="1"/>
    <col min="10569" max="10586" width="36.85546875" style="143" customWidth="1"/>
    <col min="10587" max="10587" width="36.5703125" style="143" customWidth="1"/>
    <col min="10588" max="10600" width="36.85546875" style="143" customWidth="1"/>
    <col min="10601" max="10601" width="36.5703125" style="143" customWidth="1"/>
    <col min="10602" max="10604" width="36.85546875" style="143" customWidth="1"/>
    <col min="10605" max="10605" width="36.5703125" style="143" customWidth="1"/>
    <col min="10606" max="10613" width="36.85546875" style="143" customWidth="1"/>
    <col min="10614" max="10614" width="36.5703125" style="143" customWidth="1"/>
    <col min="10615" max="10752" width="36.85546875" style="143"/>
    <col min="10753" max="10753" width="18.5703125" style="143" customWidth="1"/>
    <col min="10754" max="10762" width="31.42578125" style="143" customWidth="1"/>
    <col min="10763" max="10779" width="36.85546875" style="143" customWidth="1"/>
    <col min="10780" max="10780" width="37" style="143" customWidth="1"/>
    <col min="10781" max="10796" width="36.85546875" style="143" customWidth="1"/>
    <col min="10797" max="10797" width="37.140625" style="143" customWidth="1"/>
    <col min="10798" max="10799" width="36.85546875" style="143" customWidth="1"/>
    <col min="10800" max="10800" width="36.5703125" style="143" customWidth="1"/>
    <col min="10801" max="10802" width="36.85546875" style="143" customWidth="1"/>
    <col min="10803" max="10803" width="36.5703125" style="143" customWidth="1"/>
    <col min="10804" max="10804" width="37" style="143" customWidth="1"/>
    <col min="10805" max="10823" width="36.85546875" style="143" customWidth="1"/>
    <col min="10824" max="10824" width="37" style="143" customWidth="1"/>
    <col min="10825" max="10842" width="36.85546875" style="143" customWidth="1"/>
    <col min="10843" max="10843" width="36.5703125" style="143" customWidth="1"/>
    <col min="10844" max="10856" width="36.85546875" style="143" customWidth="1"/>
    <col min="10857" max="10857" width="36.5703125" style="143" customWidth="1"/>
    <col min="10858" max="10860" width="36.85546875" style="143" customWidth="1"/>
    <col min="10861" max="10861" width="36.5703125" style="143" customWidth="1"/>
    <col min="10862" max="10869" width="36.85546875" style="143" customWidth="1"/>
    <col min="10870" max="10870" width="36.5703125" style="143" customWidth="1"/>
    <col min="10871" max="11008" width="36.85546875" style="143"/>
    <col min="11009" max="11009" width="18.5703125" style="143" customWidth="1"/>
    <col min="11010" max="11018" width="31.42578125" style="143" customWidth="1"/>
    <col min="11019" max="11035" width="36.85546875" style="143" customWidth="1"/>
    <col min="11036" max="11036" width="37" style="143" customWidth="1"/>
    <col min="11037" max="11052" width="36.85546875" style="143" customWidth="1"/>
    <col min="11053" max="11053" width="37.140625" style="143" customWidth="1"/>
    <col min="11054" max="11055" width="36.85546875" style="143" customWidth="1"/>
    <col min="11056" max="11056" width="36.5703125" style="143" customWidth="1"/>
    <col min="11057" max="11058" width="36.85546875" style="143" customWidth="1"/>
    <col min="11059" max="11059" width="36.5703125" style="143" customWidth="1"/>
    <col min="11060" max="11060" width="37" style="143" customWidth="1"/>
    <col min="11061" max="11079" width="36.85546875" style="143" customWidth="1"/>
    <col min="11080" max="11080" width="37" style="143" customWidth="1"/>
    <col min="11081" max="11098" width="36.85546875" style="143" customWidth="1"/>
    <col min="11099" max="11099" width="36.5703125" style="143" customWidth="1"/>
    <col min="11100" max="11112" width="36.85546875" style="143" customWidth="1"/>
    <col min="11113" max="11113" width="36.5703125" style="143" customWidth="1"/>
    <col min="11114" max="11116" width="36.85546875" style="143" customWidth="1"/>
    <col min="11117" max="11117" width="36.5703125" style="143" customWidth="1"/>
    <col min="11118" max="11125" width="36.85546875" style="143" customWidth="1"/>
    <col min="11126" max="11126" width="36.5703125" style="143" customWidth="1"/>
    <col min="11127" max="11264" width="36.85546875" style="143"/>
    <col min="11265" max="11265" width="18.5703125" style="143" customWidth="1"/>
    <col min="11266" max="11274" width="31.42578125" style="143" customWidth="1"/>
    <col min="11275" max="11291" width="36.85546875" style="143" customWidth="1"/>
    <col min="11292" max="11292" width="37" style="143" customWidth="1"/>
    <col min="11293" max="11308" width="36.85546875" style="143" customWidth="1"/>
    <col min="11309" max="11309" width="37.140625" style="143" customWidth="1"/>
    <col min="11310" max="11311" width="36.85546875" style="143" customWidth="1"/>
    <col min="11312" max="11312" width="36.5703125" style="143" customWidth="1"/>
    <col min="11313" max="11314" width="36.85546875" style="143" customWidth="1"/>
    <col min="11315" max="11315" width="36.5703125" style="143" customWidth="1"/>
    <col min="11316" max="11316" width="37" style="143" customWidth="1"/>
    <col min="11317" max="11335" width="36.85546875" style="143" customWidth="1"/>
    <col min="11336" max="11336" width="37" style="143" customWidth="1"/>
    <col min="11337" max="11354" width="36.85546875" style="143" customWidth="1"/>
    <col min="11355" max="11355" width="36.5703125" style="143" customWidth="1"/>
    <col min="11356" max="11368" width="36.85546875" style="143" customWidth="1"/>
    <col min="11369" max="11369" width="36.5703125" style="143" customWidth="1"/>
    <col min="11370" max="11372" width="36.85546875" style="143" customWidth="1"/>
    <col min="11373" max="11373" width="36.5703125" style="143" customWidth="1"/>
    <col min="11374" max="11381" width="36.85546875" style="143" customWidth="1"/>
    <col min="11382" max="11382" width="36.5703125" style="143" customWidth="1"/>
    <col min="11383" max="11520" width="36.85546875" style="143"/>
    <col min="11521" max="11521" width="18.5703125" style="143" customWidth="1"/>
    <col min="11522" max="11530" width="31.42578125" style="143" customWidth="1"/>
    <col min="11531" max="11547" width="36.85546875" style="143" customWidth="1"/>
    <col min="11548" max="11548" width="37" style="143" customWidth="1"/>
    <col min="11549" max="11564" width="36.85546875" style="143" customWidth="1"/>
    <col min="11565" max="11565" width="37.140625" style="143" customWidth="1"/>
    <col min="11566" max="11567" width="36.85546875" style="143" customWidth="1"/>
    <col min="11568" max="11568" width="36.5703125" style="143" customWidth="1"/>
    <col min="11569" max="11570" width="36.85546875" style="143" customWidth="1"/>
    <col min="11571" max="11571" width="36.5703125" style="143" customWidth="1"/>
    <col min="11572" max="11572" width="37" style="143" customWidth="1"/>
    <col min="11573" max="11591" width="36.85546875" style="143" customWidth="1"/>
    <col min="11592" max="11592" width="37" style="143" customWidth="1"/>
    <col min="11593" max="11610" width="36.85546875" style="143" customWidth="1"/>
    <col min="11611" max="11611" width="36.5703125" style="143" customWidth="1"/>
    <col min="11612" max="11624" width="36.85546875" style="143" customWidth="1"/>
    <col min="11625" max="11625" width="36.5703125" style="143" customWidth="1"/>
    <col min="11626" max="11628" width="36.85546875" style="143" customWidth="1"/>
    <col min="11629" max="11629" width="36.5703125" style="143" customWidth="1"/>
    <col min="11630" max="11637" width="36.85546875" style="143" customWidth="1"/>
    <col min="11638" max="11638" width="36.5703125" style="143" customWidth="1"/>
    <col min="11639" max="11776" width="36.85546875" style="143"/>
    <col min="11777" max="11777" width="18.5703125" style="143" customWidth="1"/>
    <col min="11778" max="11786" width="31.42578125" style="143" customWidth="1"/>
    <col min="11787" max="11803" width="36.85546875" style="143" customWidth="1"/>
    <col min="11804" max="11804" width="37" style="143" customWidth="1"/>
    <col min="11805" max="11820" width="36.85546875" style="143" customWidth="1"/>
    <col min="11821" max="11821" width="37.140625" style="143" customWidth="1"/>
    <col min="11822" max="11823" width="36.85546875" style="143" customWidth="1"/>
    <col min="11824" max="11824" width="36.5703125" style="143" customWidth="1"/>
    <col min="11825" max="11826" width="36.85546875" style="143" customWidth="1"/>
    <col min="11827" max="11827" width="36.5703125" style="143" customWidth="1"/>
    <col min="11828" max="11828" width="37" style="143" customWidth="1"/>
    <col min="11829" max="11847" width="36.85546875" style="143" customWidth="1"/>
    <col min="11848" max="11848" width="37" style="143" customWidth="1"/>
    <col min="11849" max="11866" width="36.85546875" style="143" customWidth="1"/>
    <col min="11867" max="11867" width="36.5703125" style="143" customWidth="1"/>
    <col min="11868" max="11880" width="36.85546875" style="143" customWidth="1"/>
    <col min="11881" max="11881" width="36.5703125" style="143" customWidth="1"/>
    <col min="11882" max="11884" width="36.85546875" style="143" customWidth="1"/>
    <col min="11885" max="11885" width="36.5703125" style="143" customWidth="1"/>
    <col min="11886" max="11893" width="36.85546875" style="143" customWidth="1"/>
    <col min="11894" max="11894" width="36.5703125" style="143" customWidth="1"/>
    <col min="11895" max="12032" width="36.85546875" style="143"/>
    <col min="12033" max="12033" width="18.5703125" style="143" customWidth="1"/>
    <col min="12034" max="12042" width="31.42578125" style="143" customWidth="1"/>
    <col min="12043" max="12059" width="36.85546875" style="143" customWidth="1"/>
    <col min="12060" max="12060" width="37" style="143" customWidth="1"/>
    <col min="12061" max="12076" width="36.85546875" style="143" customWidth="1"/>
    <col min="12077" max="12077" width="37.140625" style="143" customWidth="1"/>
    <col min="12078" max="12079" width="36.85546875" style="143" customWidth="1"/>
    <col min="12080" max="12080" width="36.5703125" style="143" customWidth="1"/>
    <col min="12081" max="12082" width="36.85546875" style="143" customWidth="1"/>
    <col min="12083" max="12083" width="36.5703125" style="143" customWidth="1"/>
    <col min="12084" max="12084" width="37" style="143" customWidth="1"/>
    <col min="12085" max="12103" width="36.85546875" style="143" customWidth="1"/>
    <col min="12104" max="12104" width="37" style="143" customWidth="1"/>
    <col min="12105" max="12122" width="36.85546875" style="143" customWidth="1"/>
    <col min="12123" max="12123" width="36.5703125" style="143" customWidth="1"/>
    <col min="12124" max="12136" width="36.85546875" style="143" customWidth="1"/>
    <col min="12137" max="12137" width="36.5703125" style="143" customWidth="1"/>
    <col min="12138" max="12140" width="36.85546875" style="143" customWidth="1"/>
    <col min="12141" max="12141" width="36.5703125" style="143" customWidth="1"/>
    <col min="12142" max="12149" width="36.85546875" style="143" customWidth="1"/>
    <col min="12150" max="12150" width="36.5703125" style="143" customWidth="1"/>
    <col min="12151" max="12288" width="36.85546875" style="143"/>
    <col min="12289" max="12289" width="18.5703125" style="143" customWidth="1"/>
    <col min="12290" max="12298" width="31.42578125" style="143" customWidth="1"/>
    <col min="12299" max="12315" width="36.85546875" style="143" customWidth="1"/>
    <col min="12316" max="12316" width="37" style="143" customWidth="1"/>
    <col min="12317" max="12332" width="36.85546875" style="143" customWidth="1"/>
    <col min="12333" max="12333" width="37.140625" style="143" customWidth="1"/>
    <col min="12334" max="12335" width="36.85546875" style="143" customWidth="1"/>
    <col min="12336" max="12336" width="36.5703125" style="143" customWidth="1"/>
    <col min="12337" max="12338" width="36.85546875" style="143" customWidth="1"/>
    <col min="12339" max="12339" width="36.5703125" style="143" customWidth="1"/>
    <col min="12340" max="12340" width="37" style="143" customWidth="1"/>
    <col min="12341" max="12359" width="36.85546875" style="143" customWidth="1"/>
    <col min="12360" max="12360" width="37" style="143" customWidth="1"/>
    <col min="12361" max="12378" width="36.85546875" style="143" customWidth="1"/>
    <col min="12379" max="12379" width="36.5703125" style="143" customWidth="1"/>
    <col min="12380" max="12392" width="36.85546875" style="143" customWidth="1"/>
    <col min="12393" max="12393" width="36.5703125" style="143" customWidth="1"/>
    <col min="12394" max="12396" width="36.85546875" style="143" customWidth="1"/>
    <col min="12397" max="12397" width="36.5703125" style="143" customWidth="1"/>
    <col min="12398" max="12405" width="36.85546875" style="143" customWidth="1"/>
    <col min="12406" max="12406" width="36.5703125" style="143" customWidth="1"/>
    <col min="12407" max="12544" width="36.85546875" style="143"/>
    <col min="12545" max="12545" width="18.5703125" style="143" customWidth="1"/>
    <col min="12546" max="12554" width="31.42578125" style="143" customWidth="1"/>
    <col min="12555" max="12571" width="36.85546875" style="143" customWidth="1"/>
    <col min="12572" max="12572" width="37" style="143" customWidth="1"/>
    <col min="12573" max="12588" width="36.85546875" style="143" customWidth="1"/>
    <col min="12589" max="12589" width="37.140625" style="143" customWidth="1"/>
    <col min="12590" max="12591" width="36.85546875" style="143" customWidth="1"/>
    <col min="12592" max="12592" width="36.5703125" style="143" customWidth="1"/>
    <col min="12593" max="12594" width="36.85546875" style="143" customWidth="1"/>
    <col min="12595" max="12595" width="36.5703125" style="143" customWidth="1"/>
    <col min="12596" max="12596" width="37" style="143" customWidth="1"/>
    <col min="12597" max="12615" width="36.85546875" style="143" customWidth="1"/>
    <col min="12616" max="12616" width="37" style="143" customWidth="1"/>
    <col min="12617" max="12634" width="36.85546875" style="143" customWidth="1"/>
    <col min="12635" max="12635" width="36.5703125" style="143" customWidth="1"/>
    <col min="12636" max="12648" width="36.85546875" style="143" customWidth="1"/>
    <col min="12649" max="12649" width="36.5703125" style="143" customWidth="1"/>
    <col min="12650" max="12652" width="36.85546875" style="143" customWidth="1"/>
    <col min="12653" max="12653" width="36.5703125" style="143" customWidth="1"/>
    <col min="12654" max="12661" width="36.85546875" style="143" customWidth="1"/>
    <col min="12662" max="12662" width="36.5703125" style="143" customWidth="1"/>
    <col min="12663" max="12800" width="36.85546875" style="143"/>
    <col min="12801" max="12801" width="18.5703125" style="143" customWidth="1"/>
    <col min="12802" max="12810" width="31.42578125" style="143" customWidth="1"/>
    <col min="12811" max="12827" width="36.85546875" style="143" customWidth="1"/>
    <col min="12828" max="12828" width="37" style="143" customWidth="1"/>
    <col min="12829" max="12844" width="36.85546875" style="143" customWidth="1"/>
    <col min="12845" max="12845" width="37.140625" style="143" customWidth="1"/>
    <col min="12846" max="12847" width="36.85546875" style="143" customWidth="1"/>
    <col min="12848" max="12848" width="36.5703125" style="143" customWidth="1"/>
    <col min="12849" max="12850" width="36.85546875" style="143" customWidth="1"/>
    <col min="12851" max="12851" width="36.5703125" style="143" customWidth="1"/>
    <col min="12852" max="12852" width="37" style="143" customWidth="1"/>
    <col min="12853" max="12871" width="36.85546875" style="143" customWidth="1"/>
    <col min="12872" max="12872" width="37" style="143" customWidth="1"/>
    <col min="12873" max="12890" width="36.85546875" style="143" customWidth="1"/>
    <col min="12891" max="12891" width="36.5703125" style="143" customWidth="1"/>
    <col min="12892" max="12904" width="36.85546875" style="143" customWidth="1"/>
    <col min="12905" max="12905" width="36.5703125" style="143" customWidth="1"/>
    <col min="12906" max="12908" width="36.85546875" style="143" customWidth="1"/>
    <col min="12909" max="12909" width="36.5703125" style="143" customWidth="1"/>
    <col min="12910" max="12917" width="36.85546875" style="143" customWidth="1"/>
    <col min="12918" max="12918" width="36.5703125" style="143" customWidth="1"/>
    <col min="12919" max="13056" width="36.85546875" style="143"/>
    <col min="13057" max="13057" width="18.5703125" style="143" customWidth="1"/>
    <col min="13058" max="13066" width="31.42578125" style="143" customWidth="1"/>
    <col min="13067" max="13083" width="36.85546875" style="143" customWidth="1"/>
    <col min="13084" max="13084" width="37" style="143" customWidth="1"/>
    <col min="13085" max="13100" width="36.85546875" style="143" customWidth="1"/>
    <col min="13101" max="13101" width="37.140625" style="143" customWidth="1"/>
    <col min="13102" max="13103" width="36.85546875" style="143" customWidth="1"/>
    <col min="13104" max="13104" width="36.5703125" style="143" customWidth="1"/>
    <col min="13105" max="13106" width="36.85546875" style="143" customWidth="1"/>
    <col min="13107" max="13107" width="36.5703125" style="143" customWidth="1"/>
    <col min="13108" max="13108" width="37" style="143" customWidth="1"/>
    <col min="13109" max="13127" width="36.85546875" style="143" customWidth="1"/>
    <col min="13128" max="13128" width="37" style="143" customWidth="1"/>
    <col min="13129" max="13146" width="36.85546875" style="143" customWidth="1"/>
    <col min="13147" max="13147" width="36.5703125" style="143" customWidth="1"/>
    <col min="13148" max="13160" width="36.85546875" style="143" customWidth="1"/>
    <col min="13161" max="13161" width="36.5703125" style="143" customWidth="1"/>
    <col min="13162" max="13164" width="36.85546875" style="143" customWidth="1"/>
    <col min="13165" max="13165" width="36.5703125" style="143" customWidth="1"/>
    <col min="13166" max="13173" width="36.85546875" style="143" customWidth="1"/>
    <col min="13174" max="13174" width="36.5703125" style="143" customWidth="1"/>
    <col min="13175" max="13312" width="36.85546875" style="143"/>
    <col min="13313" max="13313" width="18.5703125" style="143" customWidth="1"/>
    <col min="13314" max="13322" width="31.42578125" style="143" customWidth="1"/>
    <col min="13323" max="13339" width="36.85546875" style="143" customWidth="1"/>
    <col min="13340" max="13340" width="37" style="143" customWidth="1"/>
    <col min="13341" max="13356" width="36.85546875" style="143" customWidth="1"/>
    <col min="13357" max="13357" width="37.140625" style="143" customWidth="1"/>
    <col min="13358" max="13359" width="36.85546875" style="143" customWidth="1"/>
    <col min="13360" max="13360" width="36.5703125" style="143" customWidth="1"/>
    <col min="13361" max="13362" width="36.85546875" style="143" customWidth="1"/>
    <col min="13363" max="13363" width="36.5703125" style="143" customWidth="1"/>
    <col min="13364" max="13364" width="37" style="143" customWidth="1"/>
    <col min="13365" max="13383" width="36.85546875" style="143" customWidth="1"/>
    <col min="13384" max="13384" width="37" style="143" customWidth="1"/>
    <col min="13385" max="13402" width="36.85546875" style="143" customWidth="1"/>
    <col min="13403" max="13403" width="36.5703125" style="143" customWidth="1"/>
    <col min="13404" max="13416" width="36.85546875" style="143" customWidth="1"/>
    <col min="13417" max="13417" width="36.5703125" style="143" customWidth="1"/>
    <col min="13418" max="13420" width="36.85546875" style="143" customWidth="1"/>
    <col min="13421" max="13421" width="36.5703125" style="143" customWidth="1"/>
    <col min="13422" max="13429" width="36.85546875" style="143" customWidth="1"/>
    <col min="13430" max="13430" width="36.5703125" style="143" customWidth="1"/>
    <col min="13431" max="13568" width="36.85546875" style="143"/>
    <col min="13569" max="13569" width="18.5703125" style="143" customWidth="1"/>
    <col min="13570" max="13578" width="31.42578125" style="143" customWidth="1"/>
    <col min="13579" max="13595" width="36.85546875" style="143" customWidth="1"/>
    <col min="13596" max="13596" width="37" style="143" customWidth="1"/>
    <col min="13597" max="13612" width="36.85546875" style="143" customWidth="1"/>
    <col min="13613" max="13613" width="37.140625" style="143" customWidth="1"/>
    <col min="13614" max="13615" width="36.85546875" style="143" customWidth="1"/>
    <col min="13616" max="13616" width="36.5703125" style="143" customWidth="1"/>
    <col min="13617" max="13618" width="36.85546875" style="143" customWidth="1"/>
    <col min="13619" max="13619" width="36.5703125" style="143" customWidth="1"/>
    <col min="13620" max="13620" width="37" style="143" customWidth="1"/>
    <col min="13621" max="13639" width="36.85546875" style="143" customWidth="1"/>
    <col min="13640" max="13640" width="37" style="143" customWidth="1"/>
    <col min="13641" max="13658" width="36.85546875" style="143" customWidth="1"/>
    <col min="13659" max="13659" width="36.5703125" style="143" customWidth="1"/>
    <col min="13660" max="13672" width="36.85546875" style="143" customWidth="1"/>
    <col min="13673" max="13673" width="36.5703125" style="143" customWidth="1"/>
    <col min="13674" max="13676" width="36.85546875" style="143" customWidth="1"/>
    <col min="13677" max="13677" width="36.5703125" style="143" customWidth="1"/>
    <col min="13678" max="13685" width="36.85546875" style="143" customWidth="1"/>
    <col min="13686" max="13686" width="36.5703125" style="143" customWidth="1"/>
    <col min="13687" max="13824" width="36.85546875" style="143"/>
    <col min="13825" max="13825" width="18.5703125" style="143" customWidth="1"/>
    <col min="13826" max="13834" width="31.42578125" style="143" customWidth="1"/>
    <col min="13835" max="13851" width="36.85546875" style="143" customWidth="1"/>
    <col min="13852" max="13852" width="37" style="143" customWidth="1"/>
    <col min="13853" max="13868" width="36.85546875" style="143" customWidth="1"/>
    <col min="13869" max="13869" width="37.140625" style="143" customWidth="1"/>
    <col min="13870" max="13871" width="36.85546875" style="143" customWidth="1"/>
    <col min="13872" max="13872" width="36.5703125" style="143" customWidth="1"/>
    <col min="13873" max="13874" width="36.85546875" style="143" customWidth="1"/>
    <col min="13875" max="13875" width="36.5703125" style="143" customWidth="1"/>
    <col min="13876" max="13876" width="37" style="143" customWidth="1"/>
    <col min="13877" max="13895" width="36.85546875" style="143" customWidth="1"/>
    <col min="13896" max="13896" width="37" style="143" customWidth="1"/>
    <col min="13897" max="13914" width="36.85546875" style="143" customWidth="1"/>
    <col min="13915" max="13915" width="36.5703125" style="143" customWidth="1"/>
    <col min="13916" max="13928" width="36.85546875" style="143" customWidth="1"/>
    <col min="13929" max="13929" width="36.5703125" style="143" customWidth="1"/>
    <col min="13930" max="13932" width="36.85546875" style="143" customWidth="1"/>
    <col min="13933" max="13933" width="36.5703125" style="143" customWidth="1"/>
    <col min="13934" max="13941" width="36.85546875" style="143" customWidth="1"/>
    <col min="13942" max="13942" width="36.5703125" style="143" customWidth="1"/>
    <col min="13943" max="14080" width="36.85546875" style="143"/>
    <col min="14081" max="14081" width="18.5703125" style="143" customWidth="1"/>
    <col min="14082" max="14090" width="31.42578125" style="143" customWidth="1"/>
    <col min="14091" max="14107" width="36.85546875" style="143" customWidth="1"/>
    <col min="14108" max="14108" width="37" style="143" customWidth="1"/>
    <col min="14109" max="14124" width="36.85546875" style="143" customWidth="1"/>
    <col min="14125" max="14125" width="37.140625" style="143" customWidth="1"/>
    <col min="14126" max="14127" width="36.85546875" style="143" customWidth="1"/>
    <col min="14128" max="14128" width="36.5703125" style="143" customWidth="1"/>
    <col min="14129" max="14130" width="36.85546875" style="143" customWidth="1"/>
    <col min="14131" max="14131" width="36.5703125" style="143" customWidth="1"/>
    <col min="14132" max="14132" width="37" style="143" customWidth="1"/>
    <col min="14133" max="14151" width="36.85546875" style="143" customWidth="1"/>
    <col min="14152" max="14152" width="37" style="143" customWidth="1"/>
    <col min="14153" max="14170" width="36.85546875" style="143" customWidth="1"/>
    <col min="14171" max="14171" width="36.5703125" style="143" customWidth="1"/>
    <col min="14172" max="14184" width="36.85546875" style="143" customWidth="1"/>
    <col min="14185" max="14185" width="36.5703125" style="143" customWidth="1"/>
    <col min="14186" max="14188" width="36.85546875" style="143" customWidth="1"/>
    <col min="14189" max="14189" width="36.5703125" style="143" customWidth="1"/>
    <col min="14190" max="14197" width="36.85546875" style="143" customWidth="1"/>
    <col min="14198" max="14198" width="36.5703125" style="143" customWidth="1"/>
    <col min="14199" max="14336" width="36.85546875" style="143"/>
    <col min="14337" max="14337" width="18.5703125" style="143" customWidth="1"/>
    <col min="14338" max="14346" width="31.42578125" style="143" customWidth="1"/>
    <col min="14347" max="14363" width="36.85546875" style="143" customWidth="1"/>
    <col min="14364" max="14364" width="37" style="143" customWidth="1"/>
    <col min="14365" max="14380" width="36.85546875" style="143" customWidth="1"/>
    <col min="14381" max="14381" width="37.140625" style="143" customWidth="1"/>
    <col min="14382" max="14383" width="36.85546875" style="143" customWidth="1"/>
    <col min="14384" max="14384" width="36.5703125" style="143" customWidth="1"/>
    <col min="14385" max="14386" width="36.85546875" style="143" customWidth="1"/>
    <col min="14387" max="14387" width="36.5703125" style="143" customWidth="1"/>
    <col min="14388" max="14388" width="37" style="143" customWidth="1"/>
    <col min="14389" max="14407" width="36.85546875" style="143" customWidth="1"/>
    <col min="14408" max="14408" width="37" style="143" customWidth="1"/>
    <col min="14409" max="14426" width="36.85546875" style="143" customWidth="1"/>
    <col min="14427" max="14427" width="36.5703125" style="143" customWidth="1"/>
    <col min="14428" max="14440" width="36.85546875" style="143" customWidth="1"/>
    <col min="14441" max="14441" width="36.5703125" style="143" customWidth="1"/>
    <col min="14442" max="14444" width="36.85546875" style="143" customWidth="1"/>
    <col min="14445" max="14445" width="36.5703125" style="143" customWidth="1"/>
    <col min="14446" max="14453" width="36.85546875" style="143" customWidth="1"/>
    <col min="14454" max="14454" width="36.5703125" style="143" customWidth="1"/>
    <col min="14455" max="14592" width="36.85546875" style="143"/>
    <col min="14593" max="14593" width="18.5703125" style="143" customWidth="1"/>
    <col min="14594" max="14602" width="31.42578125" style="143" customWidth="1"/>
    <col min="14603" max="14619" width="36.85546875" style="143" customWidth="1"/>
    <col min="14620" max="14620" width="37" style="143" customWidth="1"/>
    <col min="14621" max="14636" width="36.85546875" style="143" customWidth="1"/>
    <col min="14637" max="14637" width="37.140625" style="143" customWidth="1"/>
    <col min="14638" max="14639" width="36.85546875" style="143" customWidth="1"/>
    <col min="14640" max="14640" width="36.5703125" style="143" customWidth="1"/>
    <col min="14641" max="14642" width="36.85546875" style="143" customWidth="1"/>
    <col min="14643" max="14643" width="36.5703125" style="143" customWidth="1"/>
    <col min="14644" max="14644" width="37" style="143" customWidth="1"/>
    <col min="14645" max="14663" width="36.85546875" style="143" customWidth="1"/>
    <col min="14664" max="14664" width="37" style="143" customWidth="1"/>
    <col min="14665" max="14682" width="36.85546875" style="143" customWidth="1"/>
    <col min="14683" max="14683" width="36.5703125" style="143" customWidth="1"/>
    <col min="14684" max="14696" width="36.85546875" style="143" customWidth="1"/>
    <col min="14697" max="14697" width="36.5703125" style="143" customWidth="1"/>
    <col min="14698" max="14700" width="36.85546875" style="143" customWidth="1"/>
    <col min="14701" max="14701" width="36.5703125" style="143" customWidth="1"/>
    <col min="14702" max="14709" width="36.85546875" style="143" customWidth="1"/>
    <col min="14710" max="14710" width="36.5703125" style="143" customWidth="1"/>
    <col min="14711" max="14848" width="36.85546875" style="143"/>
    <col min="14849" max="14849" width="18.5703125" style="143" customWidth="1"/>
    <col min="14850" max="14858" width="31.42578125" style="143" customWidth="1"/>
    <col min="14859" max="14875" width="36.85546875" style="143" customWidth="1"/>
    <col min="14876" max="14876" width="37" style="143" customWidth="1"/>
    <col min="14877" max="14892" width="36.85546875" style="143" customWidth="1"/>
    <col min="14893" max="14893" width="37.140625" style="143" customWidth="1"/>
    <col min="14894" max="14895" width="36.85546875" style="143" customWidth="1"/>
    <col min="14896" max="14896" width="36.5703125" style="143" customWidth="1"/>
    <col min="14897" max="14898" width="36.85546875" style="143" customWidth="1"/>
    <col min="14899" max="14899" width="36.5703125" style="143" customWidth="1"/>
    <col min="14900" max="14900" width="37" style="143" customWidth="1"/>
    <col min="14901" max="14919" width="36.85546875" style="143" customWidth="1"/>
    <col min="14920" max="14920" width="37" style="143" customWidth="1"/>
    <col min="14921" max="14938" width="36.85546875" style="143" customWidth="1"/>
    <col min="14939" max="14939" width="36.5703125" style="143" customWidth="1"/>
    <col min="14940" max="14952" width="36.85546875" style="143" customWidth="1"/>
    <col min="14953" max="14953" width="36.5703125" style="143" customWidth="1"/>
    <col min="14954" max="14956" width="36.85546875" style="143" customWidth="1"/>
    <col min="14957" max="14957" width="36.5703125" style="143" customWidth="1"/>
    <col min="14958" max="14965" width="36.85546875" style="143" customWidth="1"/>
    <col min="14966" max="14966" width="36.5703125" style="143" customWidth="1"/>
    <col min="14967" max="15104" width="36.85546875" style="143"/>
    <col min="15105" max="15105" width="18.5703125" style="143" customWidth="1"/>
    <col min="15106" max="15114" width="31.42578125" style="143" customWidth="1"/>
    <col min="15115" max="15131" width="36.85546875" style="143" customWidth="1"/>
    <col min="15132" max="15132" width="37" style="143" customWidth="1"/>
    <col min="15133" max="15148" width="36.85546875" style="143" customWidth="1"/>
    <col min="15149" max="15149" width="37.140625" style="143" customWidth="1"/>
    <col min="15150" max="15151" width="36.85546875" style="143" customWidth="1"/>
    <col min="15152" max="15152" width="36.5703125" style="143" customWidth="1"/>
    <col min="15153" max="15154" width="36.85546875" style="143" customWidth="1"/>
    <col min="15155" max="15155" width="36.5703125" style="143" customWidth="1"/>
    <col min="15156" max="15156" width="37" style="143" customWidth="1"/>
    <col min="15157" max="15175" width="36.85546875" style="143" customWidth="1"/>
    <col min="15176" max="15176" width="37" style="143" customWidth="1"/>
    <col min="15177" max="15194" width="36.85546875" style="143" customWidth="1"/>
    <col min="15195" max="15195" width="36.5703125" style="143" customWidth="1"/>
    <col min="15196" max="15208" width="36.85546875" style="143" customWidth="1"/>
    <col min="15209" max="15209" width="36.5703125" style="143" customWidth="1"/>
    <col min="15210" max="15212" width="36.85546875" style="143" customWidth="1"/>
    <col min="15213" max="15213" width="36.5703125" style="143" customWidth="1"/>
    <col min="15214" max="15221" width="36.85546875" style="143" customWidth="1"/>
    <col min="15222" max="15222" width="36.5703125" style="143" customWidth="1"/>
    <col min="15223" max="15360" width="36.85546875" style="143"/>
    <col min="15361" max="15361" width="18.5703125" style="143" customWidth="1"/>
    <col min="15362" max="15370" width="31.42578125" style="143" customWidth="1"/>
    <col min="15371" max="15387" width="36.85546875" style="143" customWidth="1"/>
    <col min="15388" max="15388" width="37" style="143" customWidth="1"/>
    <col min="15389" max="15404" width="36.85546875" style="143" customWidth="1"/>
    <col min="15405" max="15405" width="37.140625" style="143" customWidth="1"/>
    <col min="15406" max="15407" width="36.85546875" style="143" customWidth="1"/>
    <col min="15408" max="15408" width="36.5703125" style="143" customWidth="1"/>
    <col min="15409" max="15410" width="36.85546875" style="143" customWidth="1"/>
    <col min="15411" max="15411" width="36.5703125" style="143" customWidth="1"/>
    <col min="15412" max="15412" width="37" style="143" customWidth="1"/>
    <col min="15413" max="15431" width="36.85546875" style="143" customWidth="1"/>
    <col min="15432" max="15432" width="37" style="143" customWidth="1"/>
    <col min="15433" max="15450" width="36.85546875" style="143" customWidth="1"/>
    <col min="15451" max="15451" width="36.5703125" style="143" customWidth="1"/>
    <col min="15452" max="15464" width="36.85546875" style="143" customWidth="1"/>
    <col min="15465" max="15465" width="36.5703125" style="143" customWidth="1"/>
    <col min="15466" max="15468" width="36.85546875" style="143" customWidth="1"/>
    <col min="15469" max="15469" width="36.5703125" style="143" customWidth="1"/>
    <col min="15470" max="15477" width="36.85546875" style="143" customWidth="1"/>
    <col min="15478" max="15478" width="36.5703125" style="143" customWidth="1"/>
    <col min="15479" max="15616" width="36.85546875" style="143"/>
    <col min="15617" max="15617" width="18.5703125" style="143" customWidth="1"/>
    <col min="15618" max="15626" width="31.42578125" style="143" customWidth="1"/>
    <col min="15627" max="15643" width="36.85546875" style="143" customWidth="1"/>
    <col min="15644" max="15644" width="37" style="143" customWidth="1"/>
    <col min="15645" max="15660" width="36.85546875" style="143" customWidth="1"/>
    <col min="15661" max="15661" width="37.140625" style="143" customWidth="1"/>
    <col min="15662" max="15663" width="36.85546875" style="143" customWidth="1"/>
    <col min="15664" max="15664" width="36.5703125" style="143" customWidth="1"/>
    <col min="15665" max="15666" width="36.85546875" style="143" customWidth="1"/>
    <col min="15667" max="15667" width="36.5703125" style="143" customWidth="1"/>
    <col min="15668" max="15668" width="37" style="143" customWidth="1"/>
    <col min="15669" max="15687" width="36.85546875" style="143" customWidth="1"/>
    <col min="15688" max="15688" width="37" style="143" customWidth="1"/>
    <col min="15689" max="15706" width="36.85546875" style="143" customWidth="1"/>
    <col min="15707" max="15707" width="36.5703125" style="143" customWidth="1"/>
    <col min="15708" max="15720" width="36.85546875" style="143" customWidth="1"/>
    <col min="15721" max="15721" width="36.5703125" style="143" customWidth="1"/>
    <col min="15722" max="15724" width="36.85546875" style="143" customWidth="1"/>
    <col min="15725" max="15725" width="36.5703125" style="143" customWidth="1"/>
    <col min="15726" max="15733" width="36.85546875" style="143" customWidth="1"/>
    <col min="15734" max="15734" width="36.5703125" style="143" customWidth="1"/>
    <col min="15735" max="15872" width="36.85546875" style="143"/>
    <col min="15873" max="15873" width="18.5703125" style="143" customWidth="1"/>
    <col min="15874" max="15882" width="31.42578125" style="143" customWidth="1"/>
    <col min="15883" max="15899" width="36.85546875" style="143" customWidth="1"/>
    <col min="15900" max="15900" width="37" style="143" customWidth="1"/>
    <col min="15901" max="15916" width="36.85546875" style="143" customWidth="1"/>
    <col min="15917" max="15917" width="37.140625" style="143" customWidth="1"/>
    <col min="15918" max="15919" width="36.85546875" style="143" customWidth="1"/>
    <col min="15920" max="15920" width="36.5703125" style="143" customWidth="1"/>
    <col min="15921" max="15922" width="36.85546875" style="143" customWidth="1"/>
    <col min="15923" max="15923" width="36.5703125" style="143" customWidth="1"/>
    <col min="15924" max="15924" width="37" style="143" customWidth="1"/>
    <col min="15925" max="15943" width="36.85546875" style="143" customWidth="1"/>
    <col min="15944" max="15944" width="37" style="143" customWidth="1"/>
    <col min="15945" max="15962" width="36.85546875" style="143" customWidth="1"/>
    <col min="15963" max="15963" width="36.5703125" style="143" customWidth="1"/>
    <col min="15964" max="15976" width="36.85546875" style="143" customWidth="1"/>
    <col min="15977" max="15977" width="36.5703125" style="143" customWidth="1"/>
    <col min="15978" max="15980" width="36.85546875" style="143" customWidth="1"/>
    <col min="15981" max="15981" width="36.5703125" style="143" customWidth="1"/>
    <col min="15982" max="15989" width="36.85546875" style="143" customWidth="1"/>
    <col min="15990" max="15990" width="36.5703125" style="143" customWidth="1"/>
    <col min="15991" max="16128" width="36.85546875" style="143"/>
    <col min="16129" max="16129" width="18.5703125" style="143" customWidth="1"/>
    <col min="16130" max="16138" width="31.42578125" style="143" customWidth="1"/>
    <col min="16139" max="16155" width="36.85546875" style="143" customWidth="1"/>
    <col min="16156" max="16156" width="37" style="143" customWidth="1"/>
    <col min="16157" max="16172" width="36.85546875" style="143" customWidth="1"/>
    <col min="16173" max="16173" width="37.140625" style="143" customWidth="1"/>
    <col min="16174" max="16175" width="36.85546875" style="143" customWidth="1"/>
    <col min="16176" max="16176" width="36.5703125" style="143" customWidth="1"/>
    <col min="16177" max="16178" width="36.85546875" style="143" customWidth="1"/>
    <col min="16179" max="16179" width="36.5703125" style="143" customWidth="1"/>
    <col min="16180" max="16180" width="37" style="143" customWidth="1"/>
    <col min="16181" max="16199" width="36.85546875" style="143" customWidth="1"/>
    <col min="16200" max="16200" width="37" style="143" customWidth="1"/>
    <col min="16201" max="16218" width="36.85546875" style="143" customWidth="1"/>
    <col min="16219" max="16219" width="36.5703125" style="143" customWidth="1"/>
    <col min="16220" max="16232" width="36.85546875" style="143" customWidth="1"/>
    <col min="16233" max="16233" width="36.5703125" style="143" customWidth="1"/>
    <col min="16234" max="16236" width="36.85546875" style="143" customWidth="1"/>
    <col min="16237" max="16237" width="36.5703125" style="143" customWidth="1"/>
    <col min="16238" max="16245" width="36.85546875" style="143" customWidth="1"/>
    <col min="16246" max="16246" width="36.5703125" style="143" customWidth="1"/>
    <col min="16247" max="16384" width="36.85546875" style="143"/>
  </cols>
  <sheetData>
    <row r="1" spans="1:245" s="92" customFormat="1" ht="12.75" customHeight="1" x14ac:dyDescent="0.25">
      <c r="A1" s="88" t="s">
        <v>114</v>
      </c>
      <c r="B1" s="89"/>
      <c r="C1" s="90"/>
      <c r="D1" s="90"/>
      <c r="E1" s="90"/>
      <c r="F1" s="90"/>
      <c r="G1" s="90"/>
      <c r="H1" s="90"/>
      <c r="I1" s="90"/>
      <c r="J1" s="90"/>
      <c r="K1" s="91"/>
      <c r="L1" s="91"/>
      <c r="M1" s="91"/>
      <c r="N1" s="91"/>
      <c r="O1" s="91"/>
      <c r="P1" s="91"/>
      <c r="Q1" s="91"/>
      <c r="R1" s="91"/>
      <c r="S1" s="91"/>
      <c r="T1" s="91"/>
      <c r="U1" s="91"/>
      <c r="V1" s="91"/>
      <c r="W1" s="91"/>
      <c r="X1" s="91"/>
      <c r="Y1" s="91"/>
      <c r="Z1" s="91"/>
      <c r="AA1" s="91"/>
      <c r="AB1" s="91"/>
      <c r="AC1" s="91"/>
      <c r="AD1" s="91"/>
      <c r="AE1" s="91"/>
      <c r="AF1" s="91"/>
      <c r="AG1" s="91"/>
      <c r="AH1" s="91"/>
      <c r="AI1" s="91"/>
    </row>
    <row r="2" spans="1:245" s="96" customFormat="1" ht="12.75" customHeight="1" x14ac:dyDescent="0.25">
      <c r="A2" s="93" t="s">
        <v>115</v>
      </c>
      <c r="B2" s="94">
        <v>1</v>
      </c>
      <c r="C2" s="94">
        <v>2</v>
      </c>
      <c r="D2" s="94">
        <v>3</v>
      </c>
      <c r="E2" s="94" t="s">
        <v>434</v>
      </c>
      <c r="F2" s="94" t="s">
        <v>447</v>
      </c>
      <c r="G2" s="94" t="s">
        <v>451</v>
      </c>
      <c r="H2" s="94" t="s">
        <v>454</v>
      </c>
      <c r="I2" s="94" t="s">
        <v>457</v>
      </c>
      <c r="J2" s="94" t="s">
        <v>461</v>
      </c>
      <c r="K2" s="94">
        <v>5</v>
      </c>
      <c r="L2" s="94">
        <v>6</v>
      </c>
      <c r="M2" s="94">
        <v>7</v>
      </c>
      <c r="N2" s="94">
        <v>8</v>
      </c>
      <c r="O2" s="94">
        <v>9</v>
      </c>
      <c r="P2" s="94"/>
      <c r="Q2" s="94"/>
      <c r="R2" s="94"/>
      <c r="S2" s="94"/>
      <c r="T2" s="94"/>
      <c r="U2" s="94"/>
      <c r="V2" s="94"/>
      <c r="W2" s="94"/>
      <c r="X2" s="94"/>
      <c r="Y2" s="94"/>
      <c r="Z2" s="94"/>
      <c r="AA2" s="94"/>
      <c r="AB2" s="94"/>
      <c r="AC2" s="94"/>
      <c r="AD2" s="94"/>
      <c r="AE2" s="94"/>
      <c r="AF2" s="94"/>
      <c r="AG2" s="94"/>
      <c r="AH2" s="94"/>
      <c r="AI2" s="94"/>
      <c r="AJ2" s="95"/>
      <c r="AK2" s="95" t="str">
        <f t="shared" ref="AK2:CV2" si="0">IF(AK3="","",AJ2+1)</f>
        <v/>
      </c>
      <c r="AL2" s="95" t="str">
        <f t="shared" si="0"/>
        <v/>
      </c>
      <c r="AM2" s="95" t="str">
        <f t="shared" si="0"/>
        <v/>
      </c>
      <c r="AN2" s="95" t="str">
        <f t="shared" si="0"/>
        <v/>
      </c>
      <c r="AO2" s="95" t="str">
        <f t="shared" si="0"/>
        <v/>
      </c>
      <c r="AP2" s="95" t="str">
        <f t="shared" si="0"/>
        <v/>
      </c>
      <c r="AQ2" s="95" t="str">
        <f t="shared" si="0"/>
        <v/>
      </c>
      <c r="AR2" s="95" t="str">
        <f t="shared" si="0"/>
        <v/>
      </c>
      <c r="AS2" s="95" t="str">
        <f t="shared" si="0"/>
        <v/>
      </c>
      <c r="AT2" s="95" t="str">
        <f t="shared" si="0"/>
        <v/>
      </c>
      <c r="AU2" s="95" t="str">
        <f t="shared" si="0"/>
        <v/>
      </c>
      <c r="AV2" s="95" t="str">
        <f t="shared" si="0"/>
        <v/>
      </c>
      <c r="AW2" s="95" t="str">
        <f t="shared" si="0"/>
        <v/>
      </c>
      <c r="AX2" s="95" t="str">
        <f t="shared" si="0"/>
        <v/>
      </c>
      <c r="AY2" s="95" t="str">
        <f t="shared" si="0"/>
        <v/>
      </c>
      <c r="AZ2" s="95" t="str">
        <f t="shared" si="0"/>
        <v/>
      </c>
      <c r="BA2" s="95" t="str">
        <f t="shared" si="0"/>
        <v/>
      </c>
      <c r="BB2" s="95" t="str">
        <f t="shared" si="0"/>
        <v/>
      </c>
      <c r="BC2" s="95" t="str">
        <f t="shared" si="0"/>
        <v/>
      </c>
      <c r="BD2" s="95" t="str">
        <f t="shared" si="0"/>
        <v/>
      </c>
      <c r="BE2" s="95" t="str">
        <f t="shared" si="0"/>
        <v/>
      </c>
      <c r="BF2" s="95" t="str">
        <f t="shared" si="0"/>
        <v/>
      </c>
      <c r="BG2" s="95" t="str">
        <f t="shared" si="0"/>
        <v/>
      </c>
      <c r="BH2" s="95" t="str">
        <f t="shared" si="0"/>
        <v/>
      </c>
      <c r="BI2" s="95" t="str">
        <f t="shared" si="0"/>
        <v/>
      </c>
      <c r="BJ2" s="95" t="str">
        <f t="shared" si="0"/>
        <v/>
      </c>
      <c r="BK2" s="95" t="str">
        <f t="shared" si="0"/>
        <v/>
      </c>
      <c r="BL2" s="95" t="str">
        <f t="shared" si="0"/>
        <v/>
      </c>
      <c r="BM2" s="95" t="str">
        <f t="shared" si="0"/>
        <v/>
      </c>
      <c r="BN2" s="95" t="str">
        <f t="shared" si="0"/>
        <v/>
      </c>
      <c r="BO2" s="95" t="str">
        <f t="shared" si="0"/>
        <v/>
      </c>
      <c r="BP2" s="95" t="str">
        <f t="shared" si="0"/>
        <v/>
      </c>
      <c r="BQ2" s="95" t="str">
        <f t="shared" si="0"/>
        <v/>
      </c>
      <c r="BR2" s="95" t="str">
        <f t="shared" si="0"/>
        <v/>
      </c>
      <c r="BS2" s="95" t="str">
        <f t="shared" si="0"/>
        <v/>
      </c>
      <c r="BT2" s="95" t="str">
        <f t="shared" si="0"/>
        <v/>
      </c>
      <c r="BU2" s="95" t="str">
        <f t="shared" si="0"/>
        <v/>
      </c>
      <c r="BV2" s="95" t="str">
        <f t="shared" si="0"/>
        <v/>
      </c>
      <c r="BW2" s="95" t="str">
        <f t="shared" si="0"/>
        <v/>
      </c>
      <c r="BX2" s="95" t="str">
        <f t="shared" si="0"/>
        <v/>
      </c>
      <c r="BY2" s="95" t="str">
        <f t="shared" si="0"/>
        <v/>
      </c>
      <c r="BZ2" s="95" t="str">
        <f t="shared" si="0"/>
        <v/>
      </c>
      <c r="CA2" s="95" t="str">
        <f t="shared" si="0"/>
        <v/>
      </c>
      <c r="CB2" s="95" t="str">
        <f t="shared" si="0"/>
        <v/>
      </c>
      <c r="CC2" s="95" t="str">
        <f t="shared" si="0"/>
        <v/>
      </c>
      <c r="CD2" s="95" t="str">
        <f t="shared" si="0"/>
        <v/>
      </c>
      <c r="CE2" s="95" t="str">
        <f t="shared" si="0"/>
        <v/>
      </c>
      <c r="CF2" s="95" t="str">
        <f t="shared" si="0"/>
        <v/>
      </c>
      <c r="CG2" s="95" t="str">
        <f t="shared" si="0"/>
        <v/>
      </c>
      <c r="CH2" s="95" t="str">
        <f t="shared" si="0"/>
        <v/>
      </c>
      <c r="CI2" s="95" t="str">
        <f t="shared" si="0"/>
        <v/>
      </c>
      <c r="CJ2" s="95" t="str">
        <f t="shared" si="0"/>
        <v/>
      </c>
      <c r="CK2" s="95" t="str">
        <f t="shared" si="0"/>
        <v/>
      </c>
      <c r="CL2" s="95" t="str">
        <f t="shared" si="0"/>
        <v/>
      </c>
      <c r="CM2" s="95" t="str">
        <f t="shared" si="0"/>
        <v/>
      </c>
      <c r="CN2" s="95" t="str">
        <f t="shared" si="0"/>
        <v/>
      </c>
      <c r="CO2" s="95" t="str">
        <f t="shared" si="0"/>
        <v/>
      </c>
      <c r="CP2" s="95" t="str">
        <f t="shared" si="0"/>
        <v/>
      </c>
      <c r="CQ2" s="95" t="str">
        <f t="shared" si="0"/>
        <v/>
      </c>
      <c r="CR2" s="95" t="str">
        <f t="shared" si="0"/>
        <v/>
      </c>
      <c r="CS2" s="95" t="str">
        <f t="shared" si="0"/>
        <v/>
      </c>
      <c r="CT2" s="95" t="str">
        <f t="shared" si="0"/>
        <v/>
      </c>
      <c r="CU2" s="95" t="str">
        <f t="shared" si="0"/>
        <v/>
      </c>
      <c r="CV2" s="95" t="str">
        <f t="shared" si="0"/>
        <v/>
      </c>
      <c r="CW2" s="95" t="str">
        <f t="shared" ref="CW2:FH2" si="1">IF(CW3="","",CV2+1)</f>
        <v/>
      </c>
      <c r="CX2" s="95" t="str">
        <f t="shared" si="1"/>
        <v/>
      </c>
      <c r="CY2" s="95" t="str">
        <f t="shared" si="1"/>
        <v/>
      </c>
      <c r="CZ2" s="95" t="str">
        <f t="shared" si="1"/>
        <v/>
      </c>
      <c r="DA2" s="95" t="str">
        <f t="shared" si="1"/>
        <v/>
      </c>
      <c r="DB2" s="95" t="str">
        <f t="shared" si="1"/>
        <v/>
      </c>
      <c r="DC2" s="95" t="str">
        <f t="shared" si="1"/>
        <v/>
      </c>
      <c r="DD2" s="95" t="str">
        <f t="shared" si="1"/>
        <v/>
      </c>
      <c r="DE2" s="95" t="str">
        <f t="shared" si="1"/>
        <v/>
      </c>
      <c r="DF2" s="95" t="str">
        <f t="shared" si="1"/>
        <v/>
      </c>
      <c r="DG2" s="95" t="str">
        <f t="shared" si="1"/>
        <v/>
      </c>
      <c r="DH2" s="95" t="str">
        <f t="shared" si="1"/>
        <v/>
      </c>
      <c r="DI2" s="95" t="str">
        <f t="shared" si="1"/>
        <v/>
      </c>
      <c r="DJ2" s="95" t="str">
        <f t="shared" si="1"/>
        <v/>
      </c>
      <c r="DK2" s="95" t="str">
        <f t="shared" si="1"/>
        <v/>
      </c>
      <c r="DL2" s="95" t="str">
        <f t="shared" si="1"/>
        <v/>
      </c>
      <c r="DM2" s="95" t="str">
        <f t="shared" si="1"/>
        <v/>
      </c>
      <c r="DN2" s="95" t="str">
        <f t="shared" si="1"/>
        <v/>
      </c>
      <c r="DO2" s="95" t="str">
        <f t="shared" si="1"/>
        <v/>
      </c>
      <c r="DP2" s="95" t="str">
        <f t="shared" si="1"/>
        <v/>
      </c>
      <c r="DQ2" s="95" t="str">
        <f t="shared" si="1"/>
        <v/>
      </c>
      <c r="DR2" s="95" t="str">
        <f t="shared" si="1"/>
        <v/>
      </c>
      <c r="DS2" s="95" t="str">
        <f t="shared" si="1"/>
        <v/>
      </c>
      <c r="DT2" s="95" t="str">
        <f t="shared" si="1"/>
        <v/>
      </c>
      <c r="DU2" s="95" t="str">
        <f t="shared" si="1"/>
        <v/>
      </c>
      <c r="DV2" s="95" t="str">
        <f t="shared" si="1"/>
        <v/>
      </c>
      <c r="DW2" s="95" t="str">
        <f t="shared" si="1"/>
        <v/>
      </c>
      <c r="DX2" s="95" t="str">
        <f t="shared" si="1"/>
        <v/>
      </c>
      <c r="DY2" s="95" t="str">
        <f t="shared" si="1"/>
        <v/>
      </c>
      <c r="DZ2" s="95" t="str">
        <f t="shared" si="1"/>
        <v/>
      </c>
      <c r="EA2" s="95" t="str">
        <f t="shared" si="1"/>
        <v/>
      </c>
      <c r="EB2" s="95" t="str">
        <f t="shared" si="1"/>
        <v/>
      </c>
      <c r="EC2" s="95" t="str">
        <f t="shared" si="1"/>
        <v/>
      </c>
      <c r="ED2" s="95" t="str">
        <f t="shared" si="1"/>
        <v/>
      </c>
      <c r="EE2" s="95" t="str">
        <f t="shared" si="1"/>
        <v/>
      </c>
      <c r="EF2" s="95" t="str">
        <f t="shared" si="1"/>
        <v/>
      </c>
      <c r="EG2" s="95" t="str">
        <f t="shared" si="1"/>
        <v/>
      </c>
      <c r="EH2" s="95" t="str">
        <f t="shared" si="1"/>
        <v/>
      </c>
      <c r="EI2" s="95" t="str">
        <f t="shared" si="1"/>
        <v/>
      </c>
      <c r="EJ2" s="95" t="str">
        <f t="shared" si="1"/>
        <v/>
      </c>
      <c r="EK2" s="95" t="str">
        <f t="shared" si="1"/>
        <v/>
      </c>
      <c r="EL2" s="95" t="str">
        <f t="shared" si="1"/>
        <v/>
      </c>
      <c r="EM2" s="95" t="str">
        <f t="shared" si="1"/>
        <v/>
      </c>
      <c r="EN2" s="95" t="str">
        <f t="shared" si="1"/>
        <v/>
      </c>
      <c r="EO2" s="95" t="str">
        <f t="shared" si="1"/>
        <v/>
      </c>
      <c r="EP2" s="95" t="str">
        <f t="shared" si="1"/>
        <v/>
      </c>
      <c r="EQ2" s="95" t="str">
        <f t="shared" si="1"/>
        <v/>
      </c>
      <c r="ER2" s="95" t="str">
        <f t="shared" si="1"/>
        <v/>
      </c>
      <c r="ES2" s="95" t="str">
        <f t="shared" si="1"/>
        <v/>
      </c>
      <c r="ET2" s="95" t="str">
        <f t="shared" si="1"/>
        <v/>
      </c>
      <c r="EU2" s="95" t="str">
        <f t="shared" si="1"/>
        <v/>
      </c>
      <c r="EV2" s="95" t="str">
        <f t="shared" si="1"/>
        <v/>
      </c>
      <c r="EW2" s="95" t="str">
        <f t="shared" si="1"/>
        <v/>
      </c>
      <c r="EX2" s="95" t="str">
        <f t="shared" si="1"/>
        <v/>
      </c>
      <c r="EY2" s="95" t="str">
        <f t="shared" si="1"/>
        <v/>
      </c>
      <c r="EZ2" s="95" t="str">
        <f t="shared" si="1"/>
        <v/>
      </c>
      <c r="FA2" s="95" t="str">
        <f t="shared" si="1"/>
        <v/>
      </c>
      <c r="FB2" s="95" t="str">
        <f t="shared" si="1"/>
        <v/>
      </c>
      <c r="FC2" s="95" t="str">
        <f t="shared" si="1"/>
        <v/>
      </c>
      <c r="FD2" s="95" t="str">
        <f t="shared" si="1"/>
        <v/>
      </c>
      <c r="FE2" s="95" t="str">
        <f t="shared" si="1"/>
        <v/>
      </c>
      <c r="FF2" s="95" t="str">
        <f t="shared" si="1"/>
        <v/>
      </c>
      <c r="FG2" s="95" t="str">
        <f t="shared" si="1"/>
        <v/>
      </c>
      <c r="FH2" s="95" t="str">
        <f t="shared" si="1"/>
        <v/>
      </c>
      <c r="FI2" s="95" t="str">
        <f t="shared" ref="FI2:HT2" si="2">IF(FI3="","",FH2+1)</f>
        <v/>
      </c>
      <c r="FJ2" s="95" t="str">
        <f t="shared" si="2"/>
        <v/>
      </c>
      <c r="FK2" s="95" t="str">
        <f t="shared" si="2"/>
        <v/>
      </c>
      <c r="FL2" s="95" t="str">
        <f t="shared" si="2"/>
        <v/>
      </c>
      <c r="FM2" s="95" t="str">
        <f t="shared" si="2"/>
        <v/>
      </c>
      <c r="FN2" s="95" t="str">
        <f t="shared" si="2"/>
        <v/>
      </c>
      <c r="FO2" s="95" t="str">
        <f t="shared" si="2"/>
        <v/>
      </c>
      <c r="FP2" s="95" t="str">
        <f t="shared" si="2"/>
        <v/>
      </c>
      <c r="FQ2" s="95" t="str">
        <f t="shared" si="2"/>
        <v/>
      </c>
      <c r="FR2" s="95" t="str">
        <f t="shared" si="2"/>
        <v/>
      </c>
      <c r="FS2" s="95" t="str">
        <f t="shared" si="2"/>
        <v/>
      </c>
      <c r="FT2" s="95" t="str">
        <f t="shared" si="2"/>
        <v/>
      </c>
      <c r="FU2" s="95" t="str">
        <f t="shared" si="2"/>
        <v/>
      </c>
      <c r="FV2" s="95" t="str">
        <f t="shared" si="2"/>
        <v/>
      </c>
      <c r="FW2" s="95" t="str">
        <f t="shared" si="2"/>
        <v/>
      </c>
      <c r="FX2" s="95" t="str">
        <f t="shared" si="2"/>
        <v/>
      </c>
      <c r="FY2" s="95" t="str">
        <f t="shared" si="2"/>
        <v/>
      </c>
      <c r="FZ2" s="95" t="str">
        <f t="shared" si="2"/>
        <v/>
      </c>
      <c r="GA2" s="95" t="str">
        <f t="shared" si="2"/>
        <v/>
      </c>
      <c r="GB2" s="95" t="str">
        <f t="shared" si="2"/>
        <v/>
      </c>
      <c r="GC2" s="95" t="str">
        <f t="shared" si="2"/>
        <v/>
      </c>
      <c r="GD2" s="95" t="str">
        <f t="shared" si="2"/>
        <v/>
      </c>
      <c r="GE2" s="95" t="str">
        <f t="shared" si="2"/>
        <v/>
      </c>
      <c r="GF2" s="95" t="str">
        <f t="shared" si="2"/>
        <v/>
      </c>
      <c r="GG2" s="95" t="str">
        <f t="shared" si="2"/>
        <v/>
      </c>
      <c r="GH2" s="95" t="str">
        <f t="shared" si="2"/>
        <v/>
      </c>
      <c r="GI2" s="95" t="str">
        <f t="shared" si="2"/>
        <v/>
      </c>
      <c r="GJ2" s="95" t="str">
        <f t="shared" si="2"/>
        <v/>
      </c>
      <c r="GK2" s="95" t="str">
        <f t="shared" si="2"/>
        <v/>
      </c>
      <c r="GL2" s="95" t="str">
        <f t="shared" si="2"/>
        <v/>
      </c>
      <c r="GM2" s="95" t="str">
        <f t="shared" si="2"/>
        <v/>
      </c>
      <c r="GN2" s="95" t="str">
        <f t="shared" si="2"/>
        <v/>
      </c>
      <c r="GO2" s="95" t="str">
        <f t="shared" si="2"/>
        <v/>
      </c>
      <c r="GP2" s="95" t="str">
        <f t="shared" si="2"/>
        <v/>
      </c>
      <c r="GQ2" s="95" t="str">
        <f t="shared" si="2"/>
        <v/>
      </c>
      <c r="GR2" s="95" t="str">
        <f t="shared" si="2"/>
        <v/>
      </c>
      <c r="GS2" s="95" t="str">
        <f t="shared" si="2"/>
        <v/>
      </c>
      <c r="GT2" s="95" t="str">
        <f t="shared" si="2"/>
        <v/>
      </c>
      <c r="GU2" s="95" t="str">
        <f t="shared" si="2"/>
        <v/>
      </c>
      <c r="GV2" s="95" t="str">
        <f t="shared" si="2"/>
        <v/>
      </c>
      <c r="GW2" s="95" t="str">
        <f t="shared" si="2"/>
        <v/>
      </c>
      <c r="GX2" s="95" t="str">
        <f t="shared" si="2"/>
        <v/>
      </c>
      <c r="GY2" s="95" t="str">
        <f t="shared" si="2"/>
        <v/>
      </c>
      <c r="GZ2" s="95" t="str">
        <f t="shared" si="2"/>
        <v/>
      </c>
      <c r="HA2" s="95" t="str">
        <f t="shared" si="2"/>
        <v/>
      </c>
      <c r="HB2" s="95" t="str">
        <f t="shared" si="2"/>
        <v/>
      </c>
      <c r="HC2" s="95" t="str">
        <f t="shared" si="2"/>
        <v/>
      </c>
      <c r="HD2" s="95" t="str">
        <f t="shared" si="2"/>
        <v/>
      </c>
      <c r="HE2" s="95" t="str">
        <f t="shared" si="2"/>
        <v/>
      </c>
      <c r="HF2" s="95" t="str">
        <f t="shared" si="2"/>
        <v/>
      </c>
      <c r="HG2" s="95" t="str">
        <f t="shared" si="2"/>
        <v/>
      </c>
      <c r="HH2" s="95" t="str">
        <f t="shared" si="2"/>
        <v/>
      </c>
      <c r="HI2" s="95" t="str">
        <f t="shared" si="2"/>
        <v/>
      </c>
      <c r="HJ2" s="95" t="str">
        <f t="shared" si="2"/>
        <v/>
      </c>
      <c r="HK2" s="95" t="str">
        <f t="shared" si="2"/>
        <v/>
      </c>
      <c r="HL2" s="95" t="str">
        <f t="shared" si="2"/>
        <v/>
      </c>
      <c r="HM2" s="95" t="str">
        <f t="shared" si="2"/>
        <v/>
      </c>
      <c r="HN2" s="95" t="str">
        <f t="shared" si="2"/>
        <v/>
      </c>
      <c r="HO2" s="95" t="str">
        <f t="shared" si="2"/>
        <v/>
      </c>
      <c r="HP2" s="95" t="str">
        <f t="shared" si="2"/>
        <v/>
      </c>
      <c r="HQ2" s="95" t="str">
        <f t="shared" si="2"/>
        <v/>
      </c>
      <c r="HR2" s="95" t="str">
        <f t="shared" si="2"/>
        <v/>
      </c>
      <c r="HS2" s="95" t="str">
        <f t="shared" si="2"/>
        <v/>
      </c>
      <c r="HT2" s="95" t="str">
        <f t="shared" si="2"/>
        <v/>
      </c>
      <c r="HU2" s="95" t="str">
        <f t="shared" ref="HU2:IK2" si="3">IF(HU3="","",HT2+1)</f>
        <v/>
      </c>
      <c r="HV2" s="95" t="str">
        <f t="shared" si="3"/>
        <v/>
      </c>
      <c r="HW2" s="95" t="str">
        <f t="shared" si="3"/>
        <v/>
      </c>
      <c r="HX2" s="95" t="str">
        <f t="shared" si="3"/>
        <v/>
      </c>
      <c r="HY2" s="95" t="str">
        <f t="shared" si="3"/>
        <v/>
      </c>
      <c r="HZ2" s="95" t="str">
        <f t="shared" si="3"/>
        <v/>
      </c>
      <c r="IA2" s="95" t="str">
        <f t="shared" si="3"/>
        <v/>
      </c>
      <c r="IB2" s="95" t="str">
        <f t="shared" si="3"/>
        <v/>
      </c>
      <c r="IC2" s="95" t="str">
        <f t="shared" si="3"/>
        <v/>
      </c>
      <c r="ID2" s="95" t="str">
        <f t="shared" si="3"/>
        <v/>
      </c>
      <c r="IE2" s="95" t="str">
        <f t="shared" si="3"/>
        <v/>
      </c>
      <c r="IF2" s="95" t="str">
        <f t="shared" si="3"/>
        <v/>
      </c>
      <c r="IG2" s="95" t="str">
        <f t="shared" si="3"/>
        <v/>
      </c>
      <c r="IH2" s="95" t="str">
        <f t="shared" si="3"/>
        <v/>
      </c>
      <c r="II2" s="95" t="str">
        <f t="shared" si="3"/>
        <v/>
      </c>
      <c r="IJ2" s="95" t="str">
        <f t="shared" si="3"/>
        <v/>
      </c>
      <c r="IK2" s="95" t="str">
        <f t="shared" si="3"/>
        <v/>
      </c>
    </row>
    <row r="3" spans="1:245" s="101" customFormat="1" x14ac:dyDescent="0.2">
      <c r="A3" s="97" t="s">
        <v>116</v>
      </c>
      <c r="B3" s="98" t="s">
        <v>414</v>
      </c>
      <c r="C3" s="98" t="s">
        <v>415</v>
      </c>
      <c r="D3" s="99" t="s">
        <v>415</v>
      </c>
      <c r="E3" s="98" t="s">
        <v>415</v>
      </c>
      <c r="F3" s="98" t="s">
        <v>415</v>
      </c>
      <c r="G3" s="98" t="s">
        <v>415</v>
      </c>
      <c r="H3" s="98" t="s">
        <v>415</v>
      </c>
      <c r="I3" s="98" t="s">
        <v>415</v>
      </c>
      <c r="J3" s="98" t="s">
        <v>415</v>
      </c>
      <c r="K3" s="99" t="s">
        <v>464</v>
      </c>
      <c r="L3" s="99" t="s">
        <v>414</v>
      </c>
      <c r="M3" s="100" t="s">
        <v>464</v>
      </c>
      <c r="N3" s="98" t="s">
        <v>464</v>
      </c>
      <c r="O3" s="98" t="s">
        <v>414</v>
      </c>
      <c r="P3" s="99"/>
      <c r="Q3" s="99"/>
      <c r="R3" s="99"/>
      <c r="S3" s="99"/>
      <c r="T3" s="99"/>
      <c r="U3" s="99"/>
      <c r="V3" s="99"/>
      <c r="W3" s="99"/>
      <c r="X3" s="99"/>
      <c r="Y3" s="99"/>
      <c r="Z3" s="99"/>
      <c r="AA3" s="99"/>
      <c r="AB3" s="99"/>
      <c r="AC3" s="99"/>
      <c r="AD3" s="99"/>
      <c r="AE3" s="99"/>
      <c r="AF3" s="99"/>
      <c r="AG3" s="99"/>
      <c r="AH3" s="99"/>
      <c r="AI3" s="99"/>
      <c r="GC3" s="102"/>
      <c r="GD3" s="102"/>
      <c r="GE3" s="102"/>
      <c r="GF3" s="102"/>
      <c r="GG3" s="102"/>
      <c r="GH3" s="102"/>
      <c r="GI3" s="102"/>
      <c r="GJ3" s="102"/>
      <c r="GK3" s="102"/>
      <c r="GL3" s="102"/>
      <c r="GM3" s="102"/>
      <c r="GN3" s="102"/>
      <c r="GO3" s="102"/>
      <c r="GP3" s="102"/>
      <c r="GQ3" s="102"/>
      <c r="GR3" s="102"/>
      <c r="GS3" s="102"/>
      <c r="GT3" s="102"/>
      <c r="GU3" s="102"/>
      <c r="GV3" s="102"/>
      <c r="GW3" s="102"/>
      <c r="GX3" s="102"/>
      <c r="GY3" s="102"/>
      <c r="GZ3" s="102"/>
      <c r="HA3" s="102"/>
      <c r="HB3" s="102"/>
    </row>
    <row r="4" spans="1:245" s="101" customFormat="1" ht="63.75" x14ac:dyDescent="0.2">
      <c r="A4" s="97" t="s">
        <v>117</v>
      </c>
      <c r="B4" s="98" t="s">
        <v>416</v>
      </c>
      <c r="C4" s="98" t="s">
        <v>417</v>
      </c>
      <c r="D4" s="98" t="s">
        <v>418</v>
      </c>
      <c r="E4" s="98" t="s">
        <v>435</v>
      </c>
      <c r="F4" s="98" t="s">
        <v>435</v>
      </c>
      <c r="G4" s="98" t="s">
        <v>435</v>
      </c>
      <c r="H4" s="98" t="s">
        <v>435</v>
      </c>
      <c r="I4" s="98" t="s">
        <v>435</v>
      </c>
      <c r="J4" s="98" t="s">
        <v>435</v>
      </c>
      <c r="K4" s="98" t="s">
        <v>465</v>
      </c>
      <c r="L4" s="98" t="s">
        <v>854</v>
      </c>
      <c r="M4" s="100" t="s">
        <v>1012</v>
      </c>
      <c r="N4" s="98" t="s">
        <v>1019</v>
      </c>
      <c r="O4" s="98" t="s">
        <v>1020</v>
      </c>
      <c r="P4" s="99"/>
      <c r="Q4" s="98"/>
      <c r="R4" s="98"/>
      <c r="S4" s="98"/>
      <c r="T4" s="98"/>
      <c r="U4" s="98"/>
      <c r="V4" s="98"/>
      <c r="W4" s="98"/>
      <c r="X4" s="103"/>
      <c r="Y4" s="98"/>
      <c r="Z4" s="99"/>
      <c r="AA4" s="98"/>
      <c r="AB4" s="98"/>
      <c r="AC4" s="99"/>
      <c r="AD4" s="99"/>
      <c r="AE4" s="99"/>
      <c r="AF4" s="99"/>
      <c r="AG4" s="99"/>
      <c r="AH4" s="99"/>
      <c r="AI4" s="99"/>
      <c r="AQ4" s="104"/>
      <c r="AR4" s="104"/>
      <c r="AS4" s="104"/>
      <c r="AT4" s="104"/>
      <c r="AU4" s="104"/>
      <c r="AV4" s="104"/>
      <c r="AW4" s="104"/>
      <c r="GA4" s="102"/>
      <c r="GC4" s="102"/>
      <c r="GD4" s="102"/>
      <c r="GE4" s="102"/>
      <c r="GF4" s="102"/>
      <c r="GG4" s="102"/>
      <c r="GH4" s="102"/>
      <c r="GI4" s="102"/>
      <c r="GJ4" s="102"/>
      <c r="GK4" s="102"/>
      <c r="GL4" s="102"/>
      <c r="GM4" s="102"/>
      <c r="GN4" s="102"/>
      <c r="GO4" s="102"/>
      <c r="GP4" s="102"/>
      <c r="GQ4" s="102"/>
      <c r="GR4" s="102"/>
      <c r="GS4" s="102"/>
      <c r="GT4" s="102"/>
      <c r="GU4" s="102"/>
      <c r="GV4" s="102"/>
      <c r="GW4" s="102"/>
      <c r="GX4" s="102"/>
      <c r="GY4" s="102"/>
      <c r="GZ4" s="102"/>
      <c r="HA4" s="102"/>
      <c r="HB4" s="102"/>
    </row>
    <row r="5" spans="1:245" s="109" customFormat="1" x14ac:dyDescent="0.2">
      <c r="A5" s="105" t="s">
        <v>118</v>
      </c>
      <c r="B5" s="106" t="s">
        <v>419</v>
      </c>
      <c r="C5" s="106"/>
      <c r="D5" s="106" t="s">
        <v>420</v>
      </c>
      <c r="E5" s="106" t="s">
        <v>436</v>
      </c>
      <c r="F5" s="106" t="s">
        <v>436</v>
      </c>
      <c r="G5" s="106" t="s">
        <v>436</v>
      </c>
      <c r="H5" s="106" t="s">
        <v>436</v>
      </c>
      <c r="I5" s="106" t="s">
        <v>436</v>
      </c>
      <c r="J5" s="106" t="s">
        <v>436</v>
      </c>
      <c r="K5" s="107" t="s">
        <v>466</v>
      </c>
      <c r="L5" s="107"/>
      <c r="M5" s="108" t="s">
        <v>1013</v>
      </c>
      <c r="N5" s="106" t="s">
        <v>1013</v>
      </c>
      <c r="O5" s="106" t="s">
        <v>1021</v>
      </c>
      <c r="P5" s="107"/>
      <c r="Q5" s="106"/>
      <c r="R5" s="107"/>
      <c r="S5" s="106"/>
      <c r="T5" s="107"/>
      <c r="U5" s="106"/>
      <c r="V5" s="107"/>
      <c r="W5" s="106"/>
      <c r="X5" s="107"/>
      <c r="Y5" s="106"/>
      <c r="Z5" s="106"/>
      <c r="AA5" s="107"/>
      <c r="AB5" s="107"/>
      <c r="AC5" s="107"/>
      <c r="AD5" s="107"/>
      <c r="AE5" s="107"/>
      <c r="AF5" s="107"/>
      <c r="AG5" s="107"/>
      <c r="AH5" s="107"/>
      <c r="AI5" s="107"/>
      <c r="DO5" s="110"/>
      <c r="GC5" s="111"/>
      <c r="GD5" s="111"/>
      <c r="GE5" s="111"/>
      <c r="GF5" s="111"/>
      <c r="GG5" s="111"/>
      <c r="GH5" s="111"/>
      <c r="GI5" s="111"/>
      <c r="GJ5" s="111"/>
      <c r="GK5" s="111"/>
      <c r="GL5" s="111"/>
      <c r="GM5" s="111"/>
      <c r="GN5" s="111"/>
      <c r="GO5" s="111"/>
      <c r="GP5" s="111"/>
      <c r="GQ5" s="111"/>
      <c r="GR5" s="111"/>
      <c r="GS5" s="111"/>
      <c r="GT5" s="111"/>
      <c r="GU5" s="111"/>
      <c r="GV5" s="111"/>
      <c r="GW5" s="112"/>
      <c r="GX5" s="111"/>
      <c r="GY5" s="111"/>
      <c r="GZ5" s="111"/>
      <c r="HA5" s="111"/>
      <c r="HB5" s="111"/>
    </row>
    <row r="6" spans="1:245" s="109" customFormat="1" ht="63.75" x14ac:dyDescent="0.2">
      <c r="A6" s="105" t="s">
        <v>119</v>
      </c>
      <c r="B6" s="106"/>
      <c r="C6" s="106"/>
      <c r="D6" s="107" t="s">
        <v>421</v>
      </c>
      <c r="E6" s="106" t="s">
        <v>437</v>
      </c>
      <c r="F6" s="106" t="s">
        <v>437</v>
      </c>
      <c r="G6" s="106" t="s">
        <v>437</v>
      </c>
      <c r="H6" s="106" t="s">
        <v>437</v>
      </c>
      <c r="I6" s="106" t="s">
        <v>437</v>
      </c>
      <c r="J6" s="106" t="s">
        <v>437</v>
      </c>
      <c r="K6" s="107"/>
      <c r="L6" s="107" t="s">
        <v>855</v>
      </c>
      <c r="M6" s="108"/>
      <c r="N6" s="106"/>
      <c r="O6" s="106"/>
      <c r="P6" s="107"/>
      <c r="Q6" s="107"/>
      <c r="R6" s="107"/>
      <c r="S6" s="107"/>
      <c r="T6" s="107"/>
      <c r="U6" s="107"/>
      <c r="V6" s="107"/>
      <c r="W6" s="107"/>
      <c r="X6" s="107"/>
      <c r="Y6" s="107"/>
      <c r="Z6" s="107"/>
      <c r="AA6" s="107"/>
      <c r="AB6" s="107"/>
      <c r="AC6" s="107"/>
      <c r="AD6" s="107"/>
      <c r="AE6" s="107"/>
      <c r="AF6" s="107"/>
      <c r="AG6" s="107"/>
      <c r="AH6" s="107"/>
      <c r="AI6" s="107"/>
      <c r="GC6" s="111"/>
      <c r="GD6" s="111"/>
      <c r="GE6" s="111"/>
      <c r="GF6" s="111"/>
      <c r="GG6" s="111"/>
      <c r="GH6" s="111"/>
      <c r="GI6" s="111"/>
      <c r="GJ6" s="111"/>
      <c r="GK6" s="111"/>
      <c r="GL6" s="111"/>
      <c r="GM6" s="111"/>
      <c r="GN6" s="111"/>
      <c r="GO6" s="111"/>
      <c r="GP6" s="111"/>
      <c r="GQ6" s="111"/>
      <c r="GR6" s="111"/>
      <c r="GS6" s="111"/>
      <c r="GT6" s="111"/>
      <c r="GU6" s="111"/>
      <c r="GV6" s="111"/>
      <c r="GW6" s="111"/>
      <c r="GX6" s="111"/>
      <c r="GY6" s="111"/>
      <c r="GZ6" s="111"/>
      <c r="HA6" s="111"/>
      <c r="HB6" s="111"/>
    </row>
    <row r="7" spans="1:245" s="115" customFormat="1" x14ac:dyDescent="0.2">
      <c r="A7" s="97" t="s">
        <v>120</v>
      </c>
      <c r="B7" s="113" t="s">
        <v>422</v>
      </c>
      <c r="C7" s="113" t="s">
        <v>422</v>
      </c>
      <c r="D7" s="113" t="s">
        <v>422</v>
      </c>
      <c r="E7" s="113" t="s">
        <v>438</v>
      </c>
      <c r="F7" s="113" t="s">
        <v>438</v>
      </c>
      <c r="G7" s="113" t="s">
        <v>438</v>
      </c>
      <c r="H7" s="113" t="s">
        <v>438</v>
      </c>
      <c r="I7" s="113" t="s">
        <v>438</v>
      </c>
      <c r="J7" s="113" t="s">
        <v>438</v>
      </c>
      <c r="K7" s="114" t="s">
        <v>438</v>
      </c>
      <c r="L7" s="114" t="s">
        <v>856</v>
      </c>
      <c r="M7" s="383" t="s">
        <v>1014</v>
      </c>
      <c r="N7" s="113" t="s">
        <v>1014</v>
      </c>
      <c r="O7" s="113" t="s">
        <v>1022</v>
      </c>
      <c r="P7" s="114"/>
      <c r="Q7" s="113"/>
      <c r="R7" s="114"/>
      <c r="S7" s="113"/>
      <c r="T7" s="114"/>
      <c r="U7" s="114"/>
      <c r="V7" s="114"/>
      <c r="W7" s="114"/>
      <c r="X7" s="114"/>
      <c r="Y7" s="114"/>
      <c r="Z7" s="114"/>
      <c r="AA7" s="114"/>
      <c r="AB7" s="114"/>
      <c r="AC7" s="114"/>
      <c r="AD7" s="114"/>
      <c r="AE7" s="114"/>
      <c r="AF7" s="114"/>
      <c r="AG7" s="114"/>
      <c r="AH7" s="114"/>
      <c r="AI7" s="114"/>
      <c r="GC7" s="116"/>
      <c r="GD7" s="116"/>
      <c r="GE7" s="116"/>
      <c r="GF7" s="116"/>
      <c r="GG7" s="116"/>
      <c r="GH7" s="116"/>
      <c r="GI7" s="116"/>
      <c r="GJ7" s="116"/>
      <c r="GK7" s="116"/>
      <c r="GL7" s="116"/>
      <c r="GM7" s="116"/>
      <c r="GN7" s="116"/>
      <c r="GO7" s="116"/>
      <c r="GP7" s="116"/>
      <c r="GQ7" s="116"/>
      <c r="GR7" s="116"/>
      <c r="GS7" s="116"/>
      <c r="GT7" s="116"/>
      <c r="GU7" s="116"/>
      <c r="GV7" s="116"/>
      <c r="GW7" s="116"/>
      <c r="GX7" s="116"/>
      <c r="GY7" s="116"/>
      <c r="GZ7" s="116"/>
      <c r="HA7" s="116"/>
      <c r="HB7" s="116"/>
    </row>
    <row r="8" spans="1:245" s="115" customFormat="1" x14ac:dyDescent="0.2">
      <c r="A8" s="97" t="s">
        <v>121</v>
      </c>
      <c r="B8" s="113" t="s">
        <v>423</v>
      </c>
      <c r="C8" s="113"/>
      <c r="D8" s="114"/>
      <c r="E8" s="113" t="s">
        <v>439</v>
      </c>
      <c r="F8" s="113" t="s">
        <v>439</v>
      </c>
      <c r="G8" s="113" t="s">
        <v>439</v>
      </c>
      <c r="H8" s="113" t="s">
        <v>439</v>
      </c>
      <c r="I8" s="113" t="s">
        <v>439</v>
      </c>
      <c r="J8" s="113" t="s">
        <v>439</v>
      </c>
      <c r="K8" s="114"/>
      <c r="L8" s="114" t="s">
        <v>857</v>
      </c>
      <c r="M8" s="383" t="s">
        <v>1015</v>
      </c>
      <c r="N8" s="113" t="s">
        <v>1023</v>
      </c>
      <c r="O8" s="113" t="s">
        <v>1024</v>
      </c>
      <c r="P8" s="114"/>
      <c r="Q8" s="114"/>
      <c r="R8" s="114"/>
      <c r="S8" s="113"/>
      <c r="T8" s="114"/>
      <c r="U8" s="114"/>
      <c r="V8" s="114"/>
      <c r="W8" s="114"/>
      <c r="X8" s="114"/>
      <c r="Y8" s="114"/>
      <c r="Z8" s="114"/>
      <c r="AA8" s="114"/>
      <c r="AB8" s="114"/>
      <c r="AC8" s="114"/>
      <c r="AD8" s="114"/>
      <c r="AE8" s="114"/>
      <c r="AF8" s="114"/>
      <c r="AG8" s="114"/>
      <c r="AH8" s="114"/>
      <c r="AI8" s="114"/>
      <c r="GC8" s="116"/>
      <c r="GD8" s="116"/>
      <c r="GE8" s="116"/>
      <c r="GF8" s="116"/>
      <c r="GG8" s="116"/>
      <c r="GH8" s="116"/>
      <c r="GI8" s="116"/>
      <c r="GJ8" s="116"/>
      <c r="GK8" s="116"/>
      <c r="GL8" s="116"/>
      <c r="GM8" s="116"/>
      <c r="GN8" s="116"/>
      <c r="GO8" s="116"/>
      <c r="GP8" s="116"/>
      <c r="GQ8" s="116"/>
      <c r="GR8" s="116"/>
      <c r="GS8" s="116"/>
      <c r="GT8" s="116"/>
      <c r="GU8" s="116"/>
      <c r="GV8" s="116"/>
      <c r="GW8" s="116"/>
      <c r="GX8" s="116"/>
      <c r="GY8" s="116"/>
      <c r="GZ8" s="116"/>
      <c r="HA8" s="116"/>
      <c r="HB8" s="116"/>
    </row>
    <row r="9" spans="1:245" s="109" customFormat="1" x14ac:dyDescent="0.2">
      <c r="A9" s="105" t="s">
        <v>122</v>
      </c>
      <c r="B9" s="106" t="s">
        <v>424</v>
      </c>
      <c r="C9" s="117"/>
      <c r="D9" s="117"/>
      <c r="E9" s="117" t="s">
        <v>440</v>
      </c>
      <c r="F9" s="117" t="s">
        <v>440</v>
      </c>
      <c r="G9" s="117" t="s">
        <v>440</v>
      </c>
      <c r="H9" s="117" t="s">
        <v>440</v>
      </c>
      <c r="I9" s="117" t="s">
        <v>440</v>
      </c>
      <c r="J9" s="117" t="s">
        <v>440</v>
      </c>
      <c r="K9" s="107"/>
      <c r="L9" s="107" t="s">
        <v>424</v>
      </c>
      <c r="M9" s="108"/>
      <c r="N9" s="106"/>
      <c r="O9" s="106"/>
      <c r="P9" s="107"/>
      <c r="Q9" s="117"/>
      <c r="R9" s="107"/>
      <c r="S9" s="106"/>
      <c r="T9" s="106"/>
      <c r="U9" s="106"/>
      <c r="V9" s="107"/>
      <c r="W9" s="107"/>
      <c r="X9" s="107"/>
      <c r="Y9" s="107"/>
      <c r="Z9" s="107"/>
      <c r="AA9" s="107"/>
      <c r="AB9" s="107"/>
      <c r="AC9" s="107"/>
      <c r="AD9" s="107"/>
      <c r="AE9" s="107"/>
      <c r="AF9" s="107"/>
      <c r="AG9" s="107"/>
      <c r="AH9" s="107"/>
      <c r="AI9" s="107"/>
      <c r="AY9" s="110"/>
      <c r="GC9" s="111"/>
      <c r="GD9" s="111"/>
      <c r="GE9" s="111"/>
      <c r="GF9" s="111"/>
      <c r="GG9" s="111"/>
      <c r="GH9" s="111"/>
      <c r="GI9" s="111"/>
      <c r="GJ9" s="111"/>
      <c r="GK9" s="111"/>
      <c r="GL9" s="111"/>
      <c r="GM9" s="111"/>
      <c r="GN9" s="111"/>
      <c r="GO9" s="111"/>
      <c r="GP9" s="111"/>
      <c r="GQ9" s="111"/>
      <c r="GR9" s="111"/>
      <c r="GS9" s="111"/>
      <c r="GT9" s="111"/>
      <c r="GU9" s="111"/>
      <c r="GV9" s="111"/>
      <c r="GW9" s="111"/>
      <c r="GX9" s="111"/>
      <c r="GY9" s="111"/>
      <c r="GZ9" s="111"/>
      <c r="HA9" s="111"/>
      <c r="HB9" s="111"/>
    </row>
    <row r="10" spans="1:245" s="109" customFormat="1" ht="25.5" x14ac:dyDescent="0.2">
      <c r="A10" s="105" t="s">
        <v>123</v>
      </c>
      <c r="B10" s="106" t="s">
        <v>425</v>
      </c>
      <c r="C10" s="106" t="s">
        <v>426</v>
      </c>
      <c r="D10" s="106" t="s">
        <v>427</v>
      </c>
      <c r="E10" s="106" t="s">
        <v>440</v>
      </c>
      <c r="F10" s="106" t="s">
        <v>440</v>
      </c>
      <c r="G10" s="106" t="s">
        <v>440</v>
      </c>
      <c r="H10" s="106" t="s">
        <v>440</v>
      </c>
      <c r="I10" s="106" t="s">
        <v>440</v>
      </c>
      <c r="J10" s="106" t="s">
        <v>440</v>
      </c>
      <c r="K10" s="107"/>
      <c r="L10" s="107" t="s">
        <v>425</v>
      </c>
      <c r="M10" s="108" t="s">
        <v>1016</v>
      </c>
      <c r="N10" s="106" t="s">
        <v>1016</v>
      </c>
      <c r="O10" s="106" t="s">
        <v>1025</v>
      </c>
      <c r="P10" s="107"/>
      <c r="Q10" s="106"/>
      <c r="R10" s="107"/>
      <c r="S10" s="107"/>
      <c r="T10" s="107"/>
      <c r="U10" s="107"/>
      <c r="V10" s="107"/>
      <c r="W10" s="107"/>
      <c r="X10" s="107"/>
      <c r="Y10" s="107"/>
      <c r="Z10" s="107"/>
      <c r="AA10" s="107"/>
      <c r="AB10" s="107"/>
      <c r="AC10" s="107"/>
      <c r="AD10" s="107"/>
      <c r="AE10" s="107"/>
      <c r="AF10" s="107"/>
      <c r="AG10" s="107"/>
      <c r="AH10" s="107"/>
      <c r="AI10" s="107"/>
      <c r="GC10" s="111"/>
      <c r="GD10" s="111"/>
      <c r="GE10" s="111"/>
      <c r="GF10" s="111"/>
      <c r="GG10" s="111"/>
      <c r="GH10" s="111"/>
      <c r="GI10" s="111"/>
      <c r="GJ10" s="111"/>
      <c r="GK10" s="111"/>
      <c r="GL10" s="111"/>
      <c r="GM10" s="111"/>
      <c r="GN10" s="111"/>
      <c r="GO10" s="111"/>
      <c r="GP10" s="111"/>
      <c r="GQ10" s="111"/>
      <c r="GR10" s="111"/>
      <c r="GS10" s="111"/>
      <c r="GT10" s="111"/>
      <c r="GU10" s="111"/>
      <c r="GV10" s="111"/>
      <c r="GW10" s="111"/>
      <c r="GX10" s="111"/>
      <c r="GY10" s="111"/>
      <c r="GZ10" s="111"/>
      <c r="HA10" s="111"/>
      <c r="HB10" s="111"/>
    </row>
    <row r="11" spans="1:245" s="115" customFormat="1" x14ac:dyDescent="0.2">
      <c r="A11" s="97" t="s">
        <v>124</v>
      </c>
      <c r="B11" s="113"/>
      <c r="C11" s="113"/>
      <c r="D11" s="114"/>
      <c r="E11" s="113"/>
      <c r="F11" s="113"/>
      <c r="G11" s="113"/>
      <c r="H11" s="113"/>
      <c r="I11" s="113"/>
      <c r="J11" s="113"/>
      <c r="K11" s="114"/>
      <c r="L11" s="114"/>
      <c r="M11" s="383"/>
      <c r="N11" s="113"/>
      <c r="O11" s="113"/>
      <c r="P11" s="114"/>
      <c r="Q11" s="114"/>
      <c r="R11" s="114"/>
      <c r="S11" s="113"/>
      <c r="T11" s="114"/>
      <c r="U11" s="114"/>
      <c r="V11" s="114"/>
      <c r="W11" s="114"/>
      <c r="X11" s="113"/>
      <c r="Y11" s="114"/>
      <c r="Z11" s="114"/>
      <c r="AA11" s="114"/>
      <c r="AB11" s="114"/>
      <c r="AC11" s="114"/>
      <c r="AD11" s="114"/>
      <c r="AE11" s="114"/>
      <c r="AF11" s="114"/>
      <c r="AG11" s="114"/>
      <c r="AH11" s="114"/>
      <c r="AI11" s="114"/>
      <c r="GC11" s="116"/>
      <c r="GD11" s="116"/>
      <c r="GE11" s="116"/>
      <c r="GF11" s="116"/>
      <c r="GG11" s="116"/>
      <c r="GH11" s="116"/>
      <c r="GI11" s="116"/>
      <c r="GJ11" s="116"/>
      <c r="GK11" s="116"/>
      <c r="GL11" s="116"/>
      <c r="GM11" s="116"/>
      <c r="GN11" s="116"/>
      <c r="GO11" s="116"/>
      <c r="GP11" s="116"/>
      <c r="GQ11" s="116"/>
      <c r="GR11" s="116"/>
      <c r="GS11" s="116"/>
      <c r="GT11" s="116"/>
      <c r="GU11" s="116"/>
      <c r="GV11" s="116"/>
      <c r="GW11" s="116"/>
      <c r="GX11" s="116"/>
      <c r="GY11" s="116"/>
      <c r="GZ11" s="116"/>
      <c r="HA11" s="116"/>
      <c r="HB11" s="116"/>
    </row>
    <row r="12" spans="1:245" s="115" customFormat="1" ht="25.5" x14ac:dyDescent="0.2">
      <c r="A12" s="97" t="s">
        <v>125</v>
      </c>
      <c r="B12" s="113" t="s">
        <v>428</v>
      </c>
      <c r="C12" s="113"/>
      <c r="D12" s="114"/>
      <c r="E12" s="113"/>
      <c r="F12" s="113"/>
      <c r="G12" s="113"/>
      <c r="H12" s="113"/>
      <c r="I12" s="113"/>
      <c r="J12" s="113"/>
      <c r="K12" s="114"/>
      <c r="L12" s="114"/>
      <c r="M12" s="383"/>
      <c r="N12" s="113"/>
      <c r="O12" s="113"/>
      <c r="P12" s="114"/>
      <c r="Q12" s="114"/>
      <c r="R12" s="114"/>
      <c r="S12" s="113"/>
      <c r="T12" s="114"/>
      <c r="U12" s="114"/>
      <c r="V12" s="114"/>
      <c r="W12" s="114"/>
      <c r="X12" s="113"/>
      <c r="Y12" s="114"/>
      <c r="Z12" s="114"/>
      <c r="AA12" s="114"/>
      <c r="AB12" s="114"/>
      <c r="AC12" s="114"/>
      <c r="AD12" s="114"/>
      <c r="AE12" s="114"/>
      <c r="AF12" s="114"/>
      <c r="AG12" s="114"/>
      <c r="AH12" s="114"/>
      <c r="AI12" s="114"/>
      <c r="GC12" s="116"/>
      <c r="GD12" s="116"/>
      <c r="GE12" s="116"/>
      <c r="GF12" s="116"/>
      <c r="GG12" s="116"/>
      <c r="GH12" s="116"/>
      <c r="GI12" s="116"/>
      <c r="GJ12" s="116"/>
      <c r="GK12" s="116"/>
      <c r="GL12" s="116"/>
      <c r="GM12" s="116"/>
      <c r="GN12" s="116"/>
      <c r="GO12" s="116"/>
      <c r="GP12" s="116"/>
      <c r="GQ12" s="116"/>
      <c r="GR12" s="116"/>
      <c r="GS12" s="116"/>
      <c r="GT12" s="116"/>
      <c r="GU12" s="116"/>
      <c r="GV12" s="116"/>
      <c r="GW12" s="116"/>
      <c r="GX12" s="116"/>
      <c r="GY12" s="116"/>
      <c r="GZ12" s="116"/>
      <c r="HA12" s="116"/>
      <c r="HB12" s="116"/>
    </row>
    <row r="13" spans="1:245" s="109" customFormat="1" x14ac:dyDescent="0.2">
      <c r="A13" s="105" t="s">
        <v>126</v>
      </c>
      <c r="B13" s="106"/>
      <c r="C13" s="106"/>
      <c r="D13" s="107"/>
      <c r="E13" s="106"/>
      <c r="F13" s="106"/>
      <c r="G13" s="106"/>
      <c r="H13" s="106"/>
      <c r="I13" s="106"/>
      <c r="J13" s="106"/>
      <c r="K13" s="107"/>
      <c r="L13" s="107"/>
      <c r="M13" s="108"/>
      <c r="N13" s="106"/>
      <c r="O13" s="106"/>
      <c r="P13" s="107"/>
      <c r="Q13" s="107"/>
      <c r="R13" s="107"/>
      <c r="S13" s="107"/>
      <c r="T13" s="107"/>
      <c r="U13" s="107"/>
      <c r="V13" s="107"/>
      <c r="W13" s="107"/>
      <c r="X13" s="107"/>
      <c r="Y13" s="107"/>
      <c r="Z13" s="107"/>
      <c r="AA13" s="107"/>
      <c r="AB13" s="107"/>
      <c r="AC13" s="107"/>
      <c r="AD13" s="107"/>
      <c r="AE13" s="107"/>
      <c r="AF13" s="107"/>
      <c r="AG13" s="107"/>
      <c r="AH13" s="107"/>
      <c r="AI13" s="107"/>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row>
    <row r="14" spans="1:245" s="109" customFormat="1" x14ac:dyDescent="0.2">
      <c r="A14" s="105" t="s">
        <v>127</v>
      </c>
      <c r="B14" s="106"/>
      <c r="C14" s="106"/>
      <c r="D14" s="107"/>
      <c r="E14" s="106"/>
      <c r="F14" s="106"/>
      <c r="G14" s="106"/>
      <c r="H14" s="106"/>
      <c r="I14" s="106"/>
      <c r="J14" s="106"/>
      <c r="K14" s="107"/>
      <c r="L14" s="107"/>
      <c r="M14" s="108"/>
      <c r="N14" s="106"/>
      <c r="O14" s="106"/>
      <c r="P14" s="107"/>
      <c r="Q14" s="107"/>
      <c r="R14" s="107"/>
      <c r="S14" s="107"/>
      <c r="T14" s="107"/>
      <c r="U14" s="107"/>
      <c r="V14" s="107"/>
      <c r="W14" s="107"/>
      <c r="X14" s="107"/>
      <c r="Y14" s="107"/>
      <c r="Z14" s="107"/>
      <c r="AA14" s="107"/>
      <c r="AB14" s="107"/>
      <c r="AC14" s="107"/>
      <c r="AD14" s="107"/>
      <c r="AE14" s="107"/>
      <c r="AF14" s="107"/>
      <c r="AG14" s="107"/>
      <c r="AH14" s="107"/>
      <c r="AI14" s="107"/>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row>
    <row r="15" spans="1:245" s="101" customFormat="1" x14ac:dyDescent="0.2">
      <c r="A15" s="97" t="s">
        <v>128</v>
      </c>
      <c r="B15" s="98"/>
      <c r="C15" s="98"/>
      <c r="D15" s="99"/>
      <c r="E15" s="98"/>
      <c r="F15" s="98"/>
      <c r="G15" s="98"/>
      <c r="H15" s="98"/>
      <c r="I15" s="98"/>
      <c r="J15" s="98"/>
      <c r="K15" s="99"/>
      <c r="L15" s="99"/>
      <c r="M15" s="100"/>
      <c r="N15" s="98"/>
      <c r="O15" s="98"/>
      <c r="P15" s="99"/>
      <c r="Q15" s="99"/>
      <c r="R15" s="99"/>
      <c r="S15" s="99"/>
      <c r="T15" s="99"/>
      <c r="U15" s="99"/>
      <c r="V15" s="99"/>
      <c r="W15" s="99"/>
      <c r="X15" s="99"/>
      <c r="Y15" s="99"/>
      <c r="Z15" s="99"/>
      <c r="AA15" s="99"/>
      <c r="AB15" s="99"/>
      <c r="AC15" s="99"/>
      <c r="AD15" s="99"/>
      <c r="AE15" s="99"/>
      <c r="AF15" s="99"/>
      <c r="AG15" s="99"/>
      <c r="AH15" s="99"/>
      <c r="AI15" s="99"/>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row>
    <row r="16" spans="1:245" s="115" customFormat="1" x14ac:dyDescent="0.2">
      <c r="A16" s="97" t="s">
        <v>129</v>
      </c>
      <c r="B16" s="113"/>
      <c r="C16" s="113"/>
      <c r="D16" s="114"/>
      <c r="E16" s="113" t="s">
        <v>441</v>
      </c>
      <c r="F16" s="113" t="s">
        <v>441</v>
      </c>
      <c r="G16" s="113" t="s">
        <v>441</v>
      </c>
      <c r="H16" s="113" t="s">
        <v>441</v>
      </c>
      <c r="I16" s="113" t="s">
        <v>441</v>
      </c>
      <c r="J16" s="113" t="s">
        <v>441</v>
      </c>
      <c r="K16" s="114" t="s">
        <v>467</v>
      </c>
      <c r="L16" s="114"/>
      <c r="M16" s="383"/>
      <c r="N16" s="113"/>
      <c r="O16" s="113"/>
      <c r="P16" s="114"/>
      <c r="Q16" s="114"/>
      <c r="R16" s="114"/>
      <c r="S16" s="114"/>
      <c r="T16" s="114"/>
      <c r="U16" s="114"/>
      <c r="V16" s="114"/>
      <c r="W16" s="114"/>
      <c r="X16" s="114"/>
      <c r="Y16" s="114"/>
      <c r="Z16" s="114"/>
      <c r="AA16" s="114"/>
      <c r="AB16" s="114"/>
      <c r="AC16" s="114"/>
      <c r="AD16" s="114"/>
      <c r="AE16" s="114"/>
      <c r="AF16" s="114"/>
      <c r="AG16" s="114"/>
      <c r="AH16" s="114"/>
      <c r="AI16" s="114"/>
      <c r="CC16" s="101"/>
      <c r="GC16" s="116"/>
      <c r="GD16" s="116"/>
      <c r="GE16" s="116"/>
      <c r="GF16" s="116"/>
      <c r="GG16" s="116"/>
      <c r="GH16" s="116"/>
      <c r="GI16" s="116"/>
      <c r="GJ16" s="116"/>
      <c r="GK16" s="116"/>
      <c r="GL16" s="116"/>
      <c r="GM16" s="116"/>
      <c r="GN16" s="116"/>
      <c r="GO16" s="116"/>
      <c r="GP16" s="116"/>
      <c r="GQ16" s="116"/>
      <c r="GR16" s="116"/>
      <c r="GS16" s="116"/>
      <c r="GT16" s="116"/>
      <c r="GU16" s="116"/>
      <c r="GV16" s="116"/>
      <c r="GW16" s="116"/>
      <c r="GX16" s="116"/>
      <c r="GY16" s="116"/>
      <c r="GZ16" s="116"/>
      <c r="HA16" s="116"/>
      <c r="HB16" s="116"/>
    </row>
    <row r="17" spans="1:210" s="120" customFormat="1" x14ac:dyDescent="0.2">
      <c r="A17" s="105" t="s">
        <v>130</v>
      </c>
      <c r="B17" s="118"/>
      <c r="C17" s="118"/>
      <c r="D17" s="119"/>
      <c r="E17" s="118"/>
      <c r="F17" s="118"/>
      <c r="G17" s="118"/>
      <c r="H17" s="118"/>
      <c r="I17" s="118"/>
      <c r="J17" s="118"/>
      <c r="K17" s="119"/>
      <c r="L17" s="119"/>
      <c r="M17" s="384"/>
      <c r="N17" s="118"/>
      <c r="O17" s="118"/>
      <c r="P17" s="119"/>
      <c r="Q17" s="119"/>
      <c r="R17" s="119"/>
      <c r="S17" s="119"/>
      <c r="T17" s="119"/>
      <c r="U17" s="119"/>
      <c r="V17" s="119"/>
      <c r="W17" s="119"/>
      <c r="X17" s="119"/>
      <c r="Y17" s="119"/>
      <c r="Z17" s="119"/>
      <c r="AA17" s="119"/>
      <c r="AB17" s="119"/>
      <c r="AC17" s="119"/>
      <c r="AD17" s="119"/>
      <c r="AE17" s="119"/>
      <c r="AF17" s="119"/>
      <c r="AG17" s="119"/>
      <c r="AH17" s="119"/>
      <c r="AI17" s="119"/>
      <c r="GC17" s="121"/>
      <c r="GD17" s="121"/>
      <c r="GE17" s="121"/>
      <c r="GF17" s="121"/>
      <c r="GG17" s="121"/>
      <c r="GH17" s="121"/>
      <c r="GI17" s="121"/>
      <c r="GJ17" s="121"/>
      <c r="GK17" s="121"/>
      <c r="GL17" s="121"/>
      <c r="GM17" s="121"/>
      <c r="GN17" s="121"/>
      <c r="GO17" s="121"/>
      <c r="GP17" s="121"/>
      <c r="GQ17" s="121"/>
      <c r="GR17" s="121"/>
      <c r="GS17" s="121"/>
      <c r="GT17" s="121"/>
      <c r="GU17" s="121"/>
      <c r="GV17" s="121"/>
      <c r="GW17" s="121"/>
      <c r="GX17" s="121"/>
      <c r="GY17" s="121"/>
      <c r="GZ17" s="121"/>
      <c r="HA17" s="121"/>
      <c r="HB17" s="121"/>
    </row>
    <row r="18" spans="1:210" s="120" customFormat="1" x14ac:dyDescent="0.2">
      <c r="A18" s="105" t="s">
        <v>131</v>
      </c>
      <c r="B18" s="118"/>
      <c r="C18" s="118"/>
      <c r="D18" s="119"/>
      <c r="E18" s="118"/>
      <c r="F18" s="118"/>
      <c r="G18" s="118"/>
      <c r="H18" s="118"/>
      <c r="I18" s="118"/>
      <c r="J18" s="118"/>
      <c r="K18" s="119"/>
      <c r="L18" s="119"/>
      <c r="M18" s="384"/>
      <c r="N18" s="118"/>
      <c r="O18" s="118"/>
      <c r="P18" s="119"/>
      <c r="Q18" s="119"/>
      <c r="R18" s="119"/>
      <c r="S18" s="119"/>
      <c r="T18" s="119"/>
      <c r="U18" s="119"/>
      <c r="V18" s="119"/>
      <c r="W18" s="119"/>
      <c r="X18" s="122"/>
      <c r="Y18" s="119"/>
      <c r="Z18" s="119"/>
      <c r="AA18" s="119"/>
      <c r="AB18" s="119"/>
      <c r="AC18" s="119"/>
      <c r="AD18" s="119"/>
      <c r="AE18" s="119"/>
      <c r="AF18" s="119"/>
      <c r="AG18" s="119"/>
      <c r="AH18" s="119"/>
      <c r="AI18" s="119"/>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row>
    <row r="19" spans="1:210" s="101" customFormat="1" x14ac:dyDescent="0.2">
      <c r="A19" s="97" t="s">
        <v>132</v>
      </c>
      <c r="B19" s="98"/>
      <c r="C19" s="98"/>
      <c r="D19" s="99"/>
      <c r="E19" s="98"/>
      <c r="F19" s="98"/>
      <c r="G19" s="98"/>
      <c r="H19" s="98"/>
      <c r="I19" s="98"/>
      <c r="J19" s="98"/>
      <c r="K19" s="99"/>
      <c r="L19" s="99"/>
      <c r="M19" s="100"/>
      <c r="N19" s="98"/>
      <c r="O19" s="98"/>
      <c r="P19" s="99"/>
      <c r="Q19" s="99"/>
      <c r="R19" s="99"/>
      <c r="S19" s="99"/>
      <c r="T19" s="99"/>
      <c r="U19" s="99"/>
      <c r="V19" s="99"/>
      <c r="W19" s="99"/>
      <c r="X19" s="99"/>
      <c r="Y19" s="99"/>
      <c r="Z19" s="99"/>
      <c r="AA19" s="99"/>
      <c r="AB19" s="99"/>
      <c r="AC19" s="99"/>
      <c r="AD19" s="99"/>
      <c r="AE19" s="99"/>
      <c r="AF19" s="99"/>
      <c r="AG19" s="99"/>
      <c r="AH19" s="99"/>
      <c r="AI19" s="99"/>
      <c r="GC19" s="102"/>
      <c r="GD19" s="102"/>
      <c r="GE19" s="102"/>
      <c r="GF19" s="102"/>
      <c r="GG19" s="102"/>
      <c r="GH19" s="102"/>
      <c r="GI19" s="102"/>
      <c r="GJ19" s="102"/>
      <c r="GK19" s="102"/>
      <c r="GL19" s="102"/>
      <c r="GM19" s="102"/>
      <c r="GN19" s="102"/>
      <c r="GO19" s="102"/>
      <c r="GP19" s="102"/>
      <c r="GQ19" s="102"/>
      <c r="GR19" s="102"/>
      <c r="GS19" s="102"/>
      <c r="GT19" s="102"/>
      <c r="GU19" s="102"/>
      <c r="GV19" s="102"/>
      <c r="GW19" s="102"/>
      <c r="GX19" s="102"/>
      <c r="GY19" s="102"/>
      <c r="GZ19" s="102"/>
      <c r="HA19" s="102"/>
      <c r="HB19" s="102"/>
    </row>
    <row r="20" spans="1:210" s="127" customFormat="1" ht="25.5" x14ac:dyDescent="0.25">
      <c r="A20" s="123" t="s">
        <v>133</v>
      </c>
      <c r="B20" s="124"/>
      <c r="C20" s="124" t="s">
        <v>134</v>
      </c>
      <c r="D20" s="125"/>
      <c r="E20" s="124" t="s">
        <v>442</v>
      </c>
      <c r="F20" s="124" t="s">
        <v>442</v>
      </c>
      <c r="G20" s="124" t="s">
        <v>442</v>
      </c>
      <c r="H20" s="124" t="s">
        <v>442</v>
      </c>
      <c r="I20" s="124" t="s">
        <v>442</v>
      </c>
      <c r="J20" s="124" t="s">
        <v>442</v>
      </c>
      <c r="K20" s="124" t="s">
        <v>468</v>
      </c>
      <c r="L20" s="125"/>
      <c r="M20" s="385" t="s">
        <v>1017</v>
      </c>
      <c r="N20" s="387" t="s">
        <v>1026</v>
      </c>
      <c r="O20" s="124" t="s">
        <v>1027</v>
      </c>
      <c r="P20" s="128"/>
      <c r="Q20" s="125"/>
      <c r="R20" s="125"/>
      <c r="T20" s="125"/>
      <c r="U20" s="125"/>
      <c r="V20" s="125"/>
      <c r="W20" s="125"/>
      <c r="X20" s="125"/>
      <c r="Y20" s="125"/>
      <c r="Z20" s="125"/>
      <c r="AA20" s="128"/>
      <c r="AB20" s="128"/>
      <c r="AC20" s="128"/>
      <c r="AD20" s="128"/>
      <c r="AE20" s="128"/>
      <c r="AF20" s="128"/>
      <c r="AG20" s="128"/>
      <c r="AH20" s="128"/>
      <c r="AI20" s="128"/>
      <c r="AJ20" s="128"/>
      <c r="AK20" s="128"/>
      <c r="AL20" s="128"/>
      <c r="AM20" s="128"/>
      <c r="AN20" s="128"/>
      <c r="AO20" s="128"/>
      <c r="AP20" s="128"/>
      <c r="AQ20" s="128"/>
      <c r="AR20" s="128"/>
      <c r="AS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X20" s="128"/>
      <c r="BY20" s="128"/>
      <c r="BZ20" s="128"/>
      <c r="CA20" s="128"/>
      <c r="CB20" s="128"/>
      <c r="CC20" s="128"/>
      <c r="CD20" s="128"/>
      <c r="CE20" s="128"/>
      <c r="CF20" s="128"/>
      <c r="CG20" s="128"/>
      <c r="CH20" s="128"/>
      <c r="CI20" s="128"/>
      <c r="CK20" s="128"/>
      <c r="CL20" s="128"/>
      <c r="CN20" s="128"/>
      <c r="CO20" s="128"/>
      <c r="CP20" s="128"/>
      <c r="CQ20" s="128"/>
      <c r="CR20" s="128"/>
      <c r="CS20" s="128"/>
      <c r="CT20" s="128"/>
      <c r="CU20" s="128"/>
      <c r="CW20" s="128"/>
      <c r="CX20" s="128"/>
      <c r="CY20" s="128"/>
      <c r="CZ20" s="128"/>
      <c r="DA20" s="128"/>
      <c r="DB20" s="128"/>
      <c r="DC20" s="128"/>
      <c r="DD20" s="128"/>
      <c r="DE20" s="128"/>
      <c r="DF20" s="128"/>
      <c r="DG20" s="128"/>
      <c r="DH20" s="128"/>
      <c r="DI20" s="128"/>
      <c r="DJ20" s="128"/>
      <c r="DK20" s="128"/>
      <c r="DL20" s="128"/>
      <c r="DM20" s="128"/>
      <c r="DN20" s="128"/>
      <c r="DO20" s="128"/>
      <c r="DP20" s="128"/>
      <c r="DQ20" s="128"/>
      <c r="DR20" s="128"/>
      <c r="DS20" s="128"/>
      <c r="DT20" s="128"/>
      <c r="GC20" s="126"/>
      <c r="GE20" s="126"/>
      <c r="GI20" s="126"/>
      <c r="GJ20" s="126"/>
      <c r="GK20" s="126"/>
      <c r="GM20" s="126"/>
      <c r="GN20" s="126"/>
      <c r="GO20" s="126"/>
      <c r="GP20" s="126"/>
      <c r="GQ20" s="126"/>
      <c r="GR20" s="126"/>
      <c r="GS20" s="126"/>
      <c r="GT20" s="126"/>
      <c r="GU20" s="126"/>
      <c r="GV20" s="126"/>
      <c r="GW20" s="126"/>
      <c r="GX20" s="126"/>
      <c r="GY20" s="126"/>
      <c r="GZ20" s="126"/>
      <c r="HA20" s="126"/>
      <c r="HB20" s="126"/>
    </row>
    <row r="21" spans="1:210" s="113" customFormat="1" ht="25.5" x14ac:dyDescent="0.25">
      <c r="A21" s="129" t="s">
        <v>135</v>
      </c>
      <c r="B21" s="130"/>
      <c r="C21" s="130"/>
      <c r="D21" s="131"/>
      <c r="E21" s="130" t="s">
        <v>443</v>
      </c>
      <c r="F21" s="130" t="s">
        <v>443</v>
      </c>
      <c r="G21" s="130" t="s">
        <v>443</v>
      </c>
      <c r="H21" s="130" t="s">
        <v>443</v>
      </c>
      <c r="I21" s="130" t="s">
        <v>443</v>
      </c>
      <c r="J21" s="130" t="s">
        <v>443</v>
      </c>
      <c r="K21" s="130" t="s">
        <v>469</v>
      </c>
      <c r="L21" s="131"/>
      <c r="M21" s="386" t="s">
        <v>1018</v>
      </c>
      <c r="N21" s="130" t="s">
        <v>1018</v>
      </c>
      <c r="O21" s="130" t="s">
        <v>1018</v>
      </c>
      <c r="P21" s="133"/>
      <c r="Q21" s="131"/>
      <c r="R21" s="131"/>
      <c r="T21" s="131"/>
      <c r="U21" s="131"/>
      <c r="V21" s="131"/>
      <c r="W21" s="131"/>
      <c r="X21" s="131"/>
      <c r="Y21" s="131"/>
      <c r="Z21" s="131"/>
      <c r="AA21" s="133"/>
      <c r="AB21" s="133"/>
      <c r="AC21" s="133"/>
      <c r="AD21" s="133"/>
      <c r="AE21" s="133"/>
      <c r="AF21" s="133"/>
      <c r="AG21" s="133"/>
      <c r="AH21" s="133"/>
      <c r="AI21" s="133"/>
      <c r="AJ21" s="133"/>
      <c r="AK21" s="133"/>
      <c r="AL21" s="133"/>
      <c r="AM21" s="133"/>
      <c r="AN21" s="133"/>
      <c r="AO21" s="133"/>
      <c r="AP21" s="133"/>
      <c r="AQ21" s="133"/>
      <c r="AR21" s="133"/>
      <c r="AS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X21" s="133"/>
      <c r="BY21" s="133"/>
      <c r="BZ21" s="133"/>
      <c r="CA21" s="133"/>
      <c r="CB21" s="133"/>
      <c r="CC21" s="133"/>
      <c r="CD21" s="133"/>
      <c r="CE21" s="133"/>
      <c r="CF21" s="133"/>
      <c r="CG21" s="133"/>
      <c r="CH21" s="133"/>
      <c r="CI21" s="133"/>
      <c r="CK21" s="133"/>
      <c r="CL21" s="133"/>
      <c r="CN21" s="133"/>
      <c r="CO21" s="133"/>
      <c r="CP21" s="133"/>
      <c r="CQ21" s="133"/>
      <c r="CR21" s="133"/>
      <c r="CS21" s="133"/>
      <c r="CT21" s="133"/>
      <c r="CU21" s="133"/>
      <c r="CW21" s="133"/>
      <c r="CX21" s="133"/>
      <c r="CY21" s="133"/>
      <c r="CZ21" s="133"/>
      <c r="DA21" s="133"/>
      <c r="DB21" s="133"/>
      <c r="DC21" s="133"/>
      <c r="DD21" s="133"/>
      <c r="DE21" s="133"/>
      <c r="DF21" s="133"/>
      <c r="DG21" s="133"/>
      <c r="DH21" s="133"/>
      <c r="DI21" s="133"/>
      <c r="DJ21" s="133"/>
      <c r="DK21" s="133"/>
      <c r="DL21" s="133"/>
      <c r="DM21" s="133"/>
      <c r="DN21" s="133"/>
      <c r="DO21" s="133"/>
      <c r="DP21" s="133"/>
      <c r="DQ21" s="133"/>
      <c r="DR21" s="133"/>
      <c r="DS21" s="133"/>
      <c r="DT21" s="133"/>
      <c r="GC21" s="132"/>
      <c r="GE21" s="132"/>
      <c r="GI21" s="132"/>
      <c r="GJ21" s="132"/>
      <c r="GK21" s="132"/>
      <c r="GM21" s="132"/>
      <c r="GN21" s="132"/>
      <c r="GO21" s="132"/>
      <c r="GP21" s="132"/>
      <c r="GQ21" s="132"/>
      <c r="GR21" s="132"/>
      <c r="GS21" s="132"/>
      <c r="GT21" s="132"/>
      <c r="GU21" s="132"/>
      <c r="GV21" s="132"/>
      <c r="GW21" s="132"/>
      <c r="GX21" s="132"/>
      <c r="GY21" s="132"/>
      <c r="GZ21" s="132"/>
      <c r="HA21" s="132"/>
      <c r="HB21" s="132"/>
    </row>
    <row r="22" spans="1:210" s="109" customFormat="1" ht="25.5" x14ac:dyDescent="0.2">
      <c r="A22" s="105" t="s">
        <v>136</v>
      </c>
      <c r="B22" s="106"/>
      <c r="C22" s="106" t="s">
        <v>429</v>
      </c>
      <c r="D22" s="107" t="s">
        <v>429</v>
      </c>
      <c r="E22" s="106" t="s">
        <v>444</v>
      </c>
      <c r="F22" s="106" t="s">
        <v>448</v>
      </c>
      <c r="G22" s="106" t="s">
        <v>452</v>
      </c>
      <c r="H22" s="106" t="s">
        <v>455</v>
      </c>
      <c r="I22" s="106" t="s">
        <v>459</v>
      </c>
      <c r="J22" s="106" t="s">
        <v>463</v>
      </c>
      <c r="K22" s="107" t="s">
        <v>470</v>
      </c>
      <c r="L22" s="107"/>
      <c r="M22" s="107"/>
      <c r="N22" s="106"/>
      <c r="O22" s="106"/>
      <c r="P22" s="107"/>
      <c r="Q22" s="107"/>
      <c r="R22" s="107"/>
      <c r="S22" s="107"/>
      <c r="T22" s="107"/>
      <c r="U22" s="107"/>
      <c r="V22" s="107"/>
      <c r="W22" s="107"/>
      <c r="X22" s="107"/>
      <c r="Y22" s="107"/>
      <c r="Z22" s="107"/>
      <c r="AA22" s="107"/>
      <c r="AB22" s="107"/>
      <c r="AC22" s="107"/>
      <c r="AD22" s="107"/>
      <c r="AE22" s="107"/>
      <c r="AF22" s="107"/>
      <c r="AG22" s="107"/>
      <c r="AH22" s="107"/>
      <c r="AI22" s="107"/>
      <c r="GC22" s="111"/>
      <c r="GD22" s="111"/>
      <c r="GE22" s="111"/>
      <c r="GF22" s="111"/>
      <c r="GG22" s="111"/>
      <c r="GH22" s="111"/>
      <c r="GI22" s="111"/>
      <c r="GJ22" s="111"/>
      <c r="GK22" s="111"/>
      <c r="GL22" s="111"/>
      <c r="GM22" s="111"/>
      <c r="GN22" s="111"/>
      <c r="GO22" s="111"/>
      <c r="GP22" s="111"/>
      <c r="GQ22" s="111"/>
      <c r="GR22" s="111"/>
      <c r="GS22" s="111"/>
      <c r="GT22" s="111"/>
      <c r="GU22" s="111"/>
      <c r="GV22" s="111"/>
      <c r="GW22" s="111"/>
      <c r="GX22" s="111"/>
      <c r="GY22" s="111"/>
      <c r="GZ22" s="111"/>
      <c r="HA22" s="111"/>
      <c r="HB22" s="111"/>
    </row>
    <row r="23" spans="1:210" s="120" customFormat="1" ht="25.5" x14ac:dyDescent="0.2">
      <c r="A23" s="105" t="s">
        <v>137</v>
      </c>
      <c r="B23" s="118" t="s">
        <v>430</v>
      </c>
      <c r="C23" s="118" t="s">
        <v>422</v>
      </c>
      <c r="D23" s="118" t="s">
        <v>422</v>
      </c>
      <c r="E23" s="118" t="s">
        <v>445</v>
      </c>
      <c r="F23" s="118" t="s">
        <v>449</v>
      </c>
      <c r="G23" s="118" t="s">
        <v>449</v>
      </c>
      <c r="H23" s="118" t="s">
        <v>449</v>
      </c>
      <c r="I23" s="118" t="s">
        <v>460</v>
      </c>
      <c r="J23" s="118" t="s">
        <v>460</v>
      </c>
      <c r="K23" s="119" t="s">
        <v>471</v>
      </c>
      <c r="L23" s="119" t="s">
        <v>858</v>
      </c>
      <c r="M23" s="106"/>
      <c r="N23" s="119"/>
      <c r="O23" s="119"/>
      <c r="P23" s="119"/>
      <c r="Q23" s="118"/>
      <c r="R23" s="119"/>
      <c r="S23" s="118"/>
      <c r="T23" s="119"/>
      <c r="U23" s="119"/>
      <c r="V23" s="119"/>
      <c r="W23" s="119"/>
      <c r="X23" s="118"/>
      <c r="Y23" s="119"/>
      <c r="Z23" s="119"/>
      <c r="AA23" s="119"/>
      <c r="AB23" s="119"/>
      <c r="AC23" s="119"/>
      <c r="AD23" s="119"/>
      <c r="AE23" s="119"/>
      <c r="AF23" s="119"/>
      <c r="AG23" s="119"/>
      <c r="AH23" s="119"/>
      <c r="AI23" s="119"/>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row>
    <row r="24" spans="1:210" s="115" customFormat="1" ht="38.25" x14ac:dyDescent="0.2">
      <c r="A24" s="97" t="s">
        <v>138</v>
      </c>
      <c r="B24" s="113" t="s">
        <v>431</v>
      </c>
      <c r="C24" s="98" t="s">
        <v>432</v>
      </c>
      <c r="D24" s="99" t="s">
        <v>433</v>
      </c>
      <c r="E24" s="98" t="s">
        <v>446</v>
      </c>
      <c r="F24" s="113" t="s">
        <v>450</v>
      </c>
      <c r="G24" s="98" t="s">
        <v>453</v>
      </c>
      <c r="H24" s="98" t="s">
        <v>456</v>
      </c>
      <c r="I24" s="98" t="s">
        <v>458</v>
      </c>
      <c r="J24" s="98" t="s">
        <v>462</v>
      </c>
      <c r="K24" s="114" t="s">
        <v>472</v>
      </c>
      <c r="L24" s="114" t="s">
        <v>859</v>
      </c>
      <c r="M24" s="98"/>
      <c r="N24" s="114"/>
      <c r="O24" s="114"/>
      <c r="P24" s="114"/>
      <c r="Q24" s="99"/>
      <c r="R24" s="114"/>
      <c r="S24" s="98"/>
      <c r="T24" s="114"/>
      <c r="U24" s="114"/>
      <c r="V24" s="114"/>
      <c r="W24" s="114"/>
      <c r="X24" s="114"/>
      <c r="Y24" s="114"/>
      <c r="Z24" s="114"/>
      <c r="AA24" s="114"/>
      <c r="AB24" s="114"/>
      <c r="AC24" s="114"/>
      <c r="AD24" s="114"/>
      <c r="AE24" s="114"/>
      <c r="AF24" s="114"/>
      <c r="AG24" s="114"/>
      <c r="AH24" s="114"/>
      <c r="AI24" s="114"/>
      <c r="GC24" s="116"/>
      <c r="GD24" s="116"/>
      <c r="GE24" s="116"/>
      <c r="GF24" s="116"/>
      <c r="GG24" s="116"/>
      <c r="GH24" s="116"/>
      <c r="GI24" s="116"/>
      <c r="GJ24" s="116"/>
      <c r="GK24" s="116"/>
      <c r="GL24" s="116"/>
      <c r="GM24" s="116"/>
      <c r="GN24" s="116"/>
      <c r="GO24" s="116"/>
      <c r="GP24" s="116"/>
      <c r="GQ24" s="116"/>
      <c r="GR24" s="116"/>
      <c r="GS24" s="116"/>
      <c r="GT24" s="116"/>
      <c r="GU24" s="116"/>
      <c r="GV24" s="116"/>
      <c r="GW24" s="116"/>
      <c r="GX24" s="116"/>
      <c r="GY24" s="116"/>
      <c r="GZ24" s="116"/>
      <c r="HA24" s="116"/>
      <c r="HB24" s="116"/>
    </row>
    <row r="25" spans="1:210" s="101" customFormat="1" x14ac:dyDescent="0.2">
      <c r="A25" s="97" t="s">
        <v>139</v>
      </c>
      <c r="B25" s="98"/>
      <c r="C25" s="98"/>
      <c r="D25" s="98"/>
      <c r="E25" s="99"/>
      <c r="F25" s="100"/>
      <c r="G25" s="98"/>
      <c r="H25" s="98"/>
      <c r="I25" s="98"/>
      <c r="J25" s="98"/>
      <c r="K25" s="99"/>
      <c r="L25" s="99"/>
      <c r="M25" s="98"/>
      <c r="N25" s="99"/>
      <c r="O25" s="99"/>
      <c r="P25" s="99"/>
      <c r="Q25" s="98"/>
      <c r="R25" s="99"/>
      <c r="S25" s="98"/>
      <c r="T25" s="99"/>
      <c r="U25" s="99"/>
      <c r="V25" s="99"/>
      <c r="W25" s="99"/>
      <c r="X25" s="99"/>
      <c r="Y25" s="99"/>
      <c r="Z25" s="99"/>
      <c r="AA25" s="99"/>
      <c r="AB25" s="99"/>
      <c r="AC25" s="99"/>
      <c r="AD25" s="99"/>
      <c r="AE25" s="99"/>
      <c r="AF25" s="99"/>
      <c r="AG25" s="99"/>
      <c r="AH25" s="99"/>
      <c r="AI25" s="99"/>
      <c r="GC25" s="102"/>
      <c r="GD25" s="102"/>
      <c r="GE25" s="102"/>
      <c r="GF25" s="102"/>
      <c r="GG25" s="102"/>
      <c r="GH25" s="102"/>
      <c r="GI25" s="102"/>
      <c r="GJ25" s="102"/>
      <c r="GK25" s="102"/>
      <c r="GL25" s="102"/>
      <c r="GM25" s="102"/>
      <c r="GN25" s="102"/>
      <c r="GO25" s="102"/>
      <c r="GP25" s="102"/>
      <c r="GQ25" s="102"/>
      <c r="GR25" s="102"/>
      <c r="GS25" s="102"/>
      <c r="GT25" s="102"/>
      <c r="GU25" s="102"/>
      <c r="GV25" s="102"/>
      <c r="GW25" s="102"/>
      <c r="GX25" s="102"/>
      <c r="GY25" s="102"/>
      <c r="GZ25" s="102"/>
      <c r="HA25" s="102"/>
      <c r="HB25" s="102"/>
    </row>
    <row r="26" spans="1:210" s="109" customFormat="1" ht="103.5" customHeight="1" x14ac:dyDescent="0.2">
      <c r="A26" s="110" t="s">
        <v>140</v>
      </c>
      <c r="B26" s="106"/>
      <c r="C26" s="106"/>
      <c r="D26" s="106"/>
      <c r="E26" s="106"/>
      <c r="F26" s="134"/>
      <c r="G26" s="106"/>
      <c r="H26" s="106"/>
      <c r="I26" s="106"/>
      <c r="J26" s="106"/>
      <c r="K26" s="135"/>
      <c r="L26" s="106"/>
      <c r="M26" s="106"/>
      <c r="N26" s="106"/>
      <c r="O26" s="106"/>
      <c r="P26" s="106"/>
      <c r="Q26" s="106"/>
      <c r="R26" s="106"/>
      <c r="S26" s="106"/>
      <c r="T26" s="106"/>
      <c r="U26" s="106"/>
      <c r="V26" s="106"/>
      <c r="W26" s="106"/>
      <c r="X26" s="106"/>
      <c r="Y26" s="106"/>
      <c r="Z26" s="106"/>
      <c r="AA26" s="136"/>
      <c r="AB26" s="136"/>
      <c r="AC26" s="136"/>
      <c r="AD26" s="106"/>
      <c r="AE26" s="136"/>
      <c r="AF26" s="136"/>
      <c r="AG26" s="136"/>
      <c r="AH26" s="136"/>
      <c r="AI26" s="136"/>
      <c r="AJ26" s="110"/>
      <c r="AK26" s="137"/>
      <c r="AL26" s="137"/>
      <c r="AM26" s="137"/>
      <c r="AN26" s="137"/>
      <c r="AO26" s="137"/>
      <c r="AP26" s="137"/>
      <c r="AQ26" s="137"/>
      <c r="AR26" s="137"/>
      <c r="AS26" s="137"/>
      <c r="AU26" s="110"/>
      <c r="AV26" s="110"/>
      <c r="AW26" s="110"/>
      <c r="AX26" s="110"/>
      <c r="BL26" s="137"/>
      <c r="DS26" s="110"/>
      <c r="DT26" s="110"/>
      <c r="GC26" s="111"/>
      <c r="GD26" s="111"/>
      <c r="GE26" s="111"/>
      <c r="GF26" s="111"/>
      <c r="GG26" s="111"/>
      <c r="GH26" s="111"/>
      <c r="GI26" s="111"/>
      <c r="GJ26" s="111"/>
      <c r="GK26" s="112"/>
      <c r="GL26" s="111"/>
      <c r="GM26" s="111"/>
      <c r="GN26" s="111"/>
      <c r="GO26" s="111"/>
      <c r="GP26" s="111"/>
      <c r="GQ26" s="111"/>
      <c r="GR26" s="111"/>
      <c r="GS26" s="111"/>
      <c r="GT26" s="111"/>
      <c r="GU26" s="111"/>
      <c r="GV26" s="111"/>
      <c r="GW26" s="111"/>
      <c r="GX26" s="111"/>
      <c r="GY26" s="111"/>
      <c r="GZ26" s="111"/>
      <c r="HA26" s="138"/>
      <c r="HB26" s="138"/>
    </row>
    <row r="27" spans="1:210" s="109" customFormat="1" x14ac:dyDescent="0.25">
      <c r="A27" s="105" t="s">
        <v>141</v>
      </c>
      <c r="B27" s="106"/>
      <c r="C27" s="106"/>
      <c r="D27" s="107"/>
      <c r="E27" s="107"/>
      <c r="F27" s="108"/>
      <c r="G27" s="106"/>
      <c r="H27" s="106"/>
      <c r="I27" s="106"/>
      <c r="J27" s="106"/>
      <c r="K27" s="107"/>
      <c r="L27" s="107"/>
      <c r="M27" s="107"/>
      <c r="N27" s="107"/>
      <c r="O27" s="107"/>
      <c r="P27" s="107"/>
      <c r="Q27" s="107"/>
      <c r="R27" s="107"/>
      <c r="S27" s="106"/>
      <c r="T27" s="107"/>
      <c r="U27" s="107"/>
      <c r="V27" s="107"/>
      <c r="W27" s="107"/>
      <c r="X27" s="106"/>
      <c r="Y27" s="107"/>
      <c r="Z27" s="107"/>
      <c r="AA27" s="107"/>
      <c r="AB27" s="107"/>
      <c r="AC27" s="107"/>
      <c r="AD27" s="107"/>
      <c r="AE27" s="107"/>
      <c r="AF27" s="107"/>
      <c r="AG27" s="107"/>
      <c r="AH27" s="107"/>
      <c r="AI27" s="107"/>
    </row>
    <row r="28" spans="1:210" s="139" customFormat="1" ht="12.75" customHeight="1" x14ac:dyDescent="0.25">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row>
    <row r="29" spans="1:210" s="139" customFormat="1" ht="12.75" customHeight="1" x14ac:dyDescent="0.25">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row>
    <row r="30" spans="1:210" s="139" customFormat="1" ht="12.75" customHeight="1" x14ac:dyDescent="0.25">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row>
    <row r="31" spans="1:210" s="139" customFormat="1" ht="12.75" customHeight="1" x14ac:dyDescent="0.25">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row>
    <row r="32" spans="1:210" s="139" customFormat="1" ht="12.75" customHeight="1" x14ac:dyDescent="0.25">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row>
    <row r="33" spans="2:35" s="139" customFormat="1" ht="12.75" customHeight="1" x14ac:dyDescent="0.25">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row>
    <row r="34" spans="2:35" s="139" customFormat="1" ht="12.75" customHeight="1" x14ac:dyDescent="0.25">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row>
    <row r="35" spans="2:35" s="139" customFormat="1" ht="12.75" customHeight="1" x14ac:dyDescent="0.25">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row>
    <row r="36" spans="2:35" s="139" customFormat="1" ht="12.75" customHeight="1" x14ac:dyDescent="0.25">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row>
    <row r="37" spans="2:35" s="139" customFormat="1" ht="12.75" customHeight="1" x14ac:dyDescent="0.25">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row>
    <row r="38" spans="2:35" s="139" customFormat="1" ht="12.75" customHeight="1" x14ac:dyDescent="0.25">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row>
    <row r="39" spans="2:35" s="139" customFormat="1" ht="12.75" customHeight="1" x14ac:dyDescent="0.25">
      <c r="B39" s="140"/>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row>
    <row r="40" spans="2:35" s="139" customFormat="1" ht="12.75" customHeight="1" x14ac:dyDescent="0.25">
      <c r="B40" s="140"/>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row>
    <row r="50" spans="1:35" ht="12.75" customHeight="1" x14ac:dyDescent="0.2">
      <c r="A50" s="141" t="s">
        <v>142</v>
      </c>
    </row>
    <row r="51" spans="1:35" s="144" customFormat="1" ht="12.75" customHeight="1" x14ac:dyDescent="0.25">
      <c r="B51" s="145" t="s">
        <v>143</v>
      </c>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row>
    <row r="52" spans="1:35" ht="12.75" customHeight="1" x14ac:dyDescent="0.2">
      <c r="B52" s="146" t="s">
        <v>78</v>
      </c>
    </row>
    <row r="53" spans="1:35" ht="12.75" customHeight="1" x14ac:dyDescent="0.2">
      <c r="B53" s="147" t="s">
        <v>144</v>
      </c>
    </row>
    <row r="54" spans="1:35" ht="12.75" customHeight="1" x14ac:dyDescent="0.2">
      <c r="B54" s="147" t="s">
        <v>145</v>
      </c>
    </row>
    <row r="55" spans="1:35" ht="12.75" customHeight="1" x14ac:dyDescent="0.2">
      <c r="B55" s="147" t="s">
        <v>146</v>
      </c>
    </row>
    <row r="56" spans="1:35" ht="12.75" customHeight="1" x14ac:dyDescent="0.2">
      <c r="B56" s="147" t="s">
        <v>147</v>
      </c>
    </row>
    <row r="57" spans="1:35" ht="12.75" customHeight="1" x14ac:dyDescent="0.2">
      <c r="B57" s="147" t="s">
        <v>148</v>
      </c>
    </row>
    <row r="58" spans="1:35" ht="12.75" customHeight="1" x14ac:dyDescent="0.2">
      <c r="B58" s="147" t="s">
        <v>149</v>
      </c>
    </row>
    <row r="59" spans="1:35" ht="12.75" customHeight="1" x14ac:dyDescent="0.2">
      <c r="B59" s="147" t="s">
        <v>150</v>
      </c>
    </row>
    <row r="60" spans="1:35" ht="12.75" customHeight="1" x14ac:dyDescent="0.2">
      <c r="B60" s="147" t="s">
        <v>151</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xr:uid="{00000000-0002-0000-0300-000000000000}">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WVN98305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M19" xr:uid="{00000000-0002-0000-0300-000001000000}">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WVN98304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M3" xr:uid="{00000000-0002-0000-0300-000002000000}">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AM162"/>
  <sheetViews>
    <sheetView tabSelected="1" showWhiteSpace="0" zoomScaleNormal="100" zoomScalePageLayoutView="85" workbookViewId="0">
      <selection activeCell="D14" sqref="D14"/>
    </sheetView>
  </sheetViews>
  <sheetFormatPr defaultColWidth="9.140625" defaultRowHeight="12.75" x14ac:dyDescent="0.2"/>
  <cols>
    <col min="1" max="1" width="3.140625" style="3" customWidth="1"/>
    <col min="2" max="2" width="30"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32.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34" t="s">
        <v>18</v>
      </c>
      <c r="B1" s="334"/>
      <c r="C1" s="334"/>
      <c r="D1" s="334"/>
      <c r="E1" s="334"/>
      <c r="F1" s="334"/>
      <c r="G1" s="334"/>
      <c r="H1" s="334"/>
      <c r="I1" s="334"/>
      <c r="J1" s="334"/>
      <c r="K1" s="334"/>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48" t="s">
        <v>152</v>
      </c>
      <c r="C2" s="149"/>
      <c r="D2" s="149"/>
      <c r="E2" s="149"/>
      <c r="F2" s="149"/>
      <c r="G2" s="149"/>
      <c r="H2" s="149"/>
    </row>
    <row r="3" spans="1:39" s="147" customFormat="1" ht="40.5" customHeight="1" x14ac:dyDescent="0.2">
      <c r="B3" s="150" t="s">
        <v>153</v>
      </c>
      <c r="C3" s="151" t="s">
        <v>154</v>
      </c>
      <c r="D3" s="151" t="s">
        <v>155</v>
      </c>
      <c r="E3" s="151" t="s">
        <v>84</v>
      </c>
      <c r="F3" s="151" t="s">
        <v>156</v>
      </c>
      <c r="G3" s="151" t="s">
        <v>157</v>
      </c>
      <c r="H3" s="151" t="s">
        <v>158</v>
      </c>
      <c r="I3" s="152" t="s">
        <v>17</v>
      </c>
      <c r="J3" s="151" t="s">
        <v>159</v>
      </c>
      <c r="K3" s="151" t="s">
        <v>160</v>
      </c>
    </row>
    <row r="4" spans="1:39" s="147" customFormat="1" x14ac:dyDescent="0.2">
      <c r="B4" s="225" t="s">
        <v>318</v>
      </c>
      <c r="C4" s="248" t="s">
        <v>473</v>
      </c>
      <c r="D4" s="151">
        <v>2</v>
      </c>
      <c r="E4" s="151">
        <v>1</v>
      </c>
      <c r="F4" s="151">
        <v>2</v>
      </c>
      <c r="G4" s="151">
        <v>2</v>
      </c>
      <c r="H4" s="151">
        <v>1</v>
      </c>
      <c r="I4" s="155" t="str">
        <f>IF(D4&lt;&gt;"",D4&amp;","&amp;E4&amp;","&amp;F4&amp;","&amp;G4&amp;","&amp;H4,"0,0,0,0,0")</f>
        <v>2,1,2,2,1</v>
      </c>
      <c r="J4" s="156" t="str">
        <f t="shared" ref="J4:J67" si="0">IF(MAX(D4:H4)&gt;=5, "Requirements not met", "Requirements met")</f>
        <v>Requirements met</v>
      </c>
      <c r="K4" s="157" t="str">
        <f t="shared" ref="K4:K67" si="1">IF(MAX(D4:H4)&gt;=5, "Not OK", "OK")</f>
        <v>OK</v>
      </c>
    </row>
    <row r="5" spans="1:39" s="147" customFormat="1" x14ac:dyDescent="0.2">
      <c r="B5" s="225" t="s">
        <v>319</v>
      </c>
      <c r="C5" s="248" t="s">
        <v>473</v>
      </c>
      <c r="D5" s="151">
        <v>2</v>
      </c>
      <c r="E5" s="151">
        <v>1</v>
      </c>
      <c r="F5" s="151">
        <v>2</v>
      </c>
      <c r="G5" s="151">
        <v>2</v>
      </c>
      <c r="H5" s="151">
        <v>1</v>
      </c>
      <c r="I5" s="155" t="str">
        <f t="shared" ref="I5:I68" si="2">IF(D5&lt;&gt;"",D5&amp;","&amp;E5&amp;","&amp;F5&amp;","&amp;G5&amp;","&amp;H5,"0,0,0,0,0")</f>
        <v>2,1,2,2,1</v>
      </c>
      <c r="J5" s="156" t="str">
        <f t="shared" si="0"/>
        <v>Requirements met</v>
      </c>
      <c r="K5" s="157" t="str">
        <f t="shared" si="1"/>
        <v>OK</v>
      </c>
    </row>
    <row r="6" spans="1:39" s="147" customFormat="1" x14ac:dyDescent="0.2">
      <c r="B6" s="225" t="s">
        <v>320</v>
      </c>
      <c r="C6" s="248" t="s">
        <v>473</v>
      </c>
      <c r="D6" s="151">
        <v>2</v>
      </c>
      <c r="E6" s="151">
        <v>1</v>
      </c>
      <c r="F6" s="151">
        <v>2</v>
      </c>
      <c r="G6" s="151">
        <v>2</v>
      </c>
      <c r="H6" s="151">
        <v>1</v>
      </c>
      <c r="I6" s="155" t="str">
        <f t="shared" si="2"/>
        <v>2,1,2,2,1</v>
      </c>
      <c r="J6" s="156" t="str">
        <f t="shared" si="0"/>
        <v>Requirements met</v>
      </c>
      <c r="K6" s="157" t="str">
        <f t="shared" si="1"/>
        <v>OK</v>
      </c>
    </row>
    <row r="7" spans="1:39" s="147" customFormat="1" x14ac:dyDescent="0.2">
      <c r="B7" s="225" t="s">
        <v>321</v>
      </c>
      <c r="C7" s="248" t="s">
        <v>473</v>
      </c>
      <c r="D7" s="151">
        <v>2</v>
      </c>
      <c r="E7" s="151">
        <v>1</v>
      </c>
      <c r="F7" s="151">
        <v>2</v>
      </c>
      <c r="G7" s="151">
        <v>2</v>
      </c>
      <c r="H7" s="151">
        <v>1</v>
      </c>
      <c r="I7" s="155" t="str">
        <f t="shared" si="2"/>
        <v>2,1,2,2,1</v>
      </c>
      <c r="J7" s="156" t="str">
        <f t="shared" si="0"/>
        <v>Requirements met</v>
      </c>
      <c r="K7" s="157" t="str">
        <f t="shared" si="1"/>
        <v>OK</v>
      </c>
    </row>
    <row r="8" spans="1:39" s="147" customFormat="1" x14ac:dyDescent="0.2">
      <c r="B8" s="44" t="s">
        <v>316</v>
      </c>
      <c r="C8" s="248" t="s">
        <v>1031</v>
      </c>
      <c r="D8" s="151">
        <v>2</v>
      </c>
      <c r="E8" s="151">
        <v>1</v>
      </c>
      <c r="F8" s="151">
        <v>2</v>
      </c>
      <c r="G8" s="151">
        <v>2</v>
      </c>
      <c r="H8" s="151">
        <v>1</v>
      </c>
      <c r="I8" s="155" t="str">
        <f t="shared" si="2"/>
        <v>2,1,2,2,1</v>
      </c>
      <c r="J8" s="156" t="str">
        <f t="shared" si="0"/>
        <v>Requirements met</v>
      </c>
      <c r="K8" s="157" t="str">
        <f t="shared" si="1"/>
        <v>OK</v>
      </c>
    </row>
    <row r="9" spans="1:39" s="147" customFormat="1" x14ac:dyDescent="0.2">
      <c r="B9" s="44" t="s">
        <v>317</v>
      </c>
      <c r="C9" s="248" t="s">
        <v>474</v>
      </c>
      <c r="D9" s="151">
        <v>2</v>
      </c>
      <c r="E9" s="151">
        <v>1</v>
      </c>
      <c r="F9" s="151">
        <v>2</v>
      </c>
      <c r="G9" s="151">
        <v>2</v>
      </c>
      <c r="H9" s="151">
        <v>1</v>
      </c>
      <c r="I9" s="155" t="str">
        <f t="shared" si="2"/>
        <v>2,1,2,2,1</v>
      </c>
      <c r="J9" s="156" t="str">
        <f t="shared" si="0"/>
        <v>Requirements met</v>
      </c>
      <c r="K9" s="157" t="str">
        <f t="shared" si="1"/>
        <v>OK</v>
      </c>
    </row>
    <row r="10" spans="1:39" s="147" customFormat="1" ht="15" x14ac:dyDescent="0.25">
      <c r="B10" s="223" t="s">
        <v>495</v>
      </c>
      <c r="C10" s="248" t="s">
        <v>1033</v>
      </c>
      <c r="D10" s="151">
        <v>2</v>
      </c>
      <c r="E10" s="151">
        <v>1</v>
      </c>
      <c r="F10" s="151">
        <v>5</v>
      </c>
      <c r="G10" s="151">
        <v>1</v>
      </c>
      <c r="H10" s="151">
        <v>2</v>
      </c>
      <c r="I10" s="155" t="str">
        <f t="shared" si="2"/>
        <v>2,1,5,1,2</v>
      </c>
      <c r="J10" s="156" t="str">
        <f t="shared" si="0"/>
        <v>Requirements not met</v>
      </c>
      <c r="K10" s="157" t="str">
        <f t="shared" si="1"/>
        <v>Not OK</v>
      </c>
    </row>
    <row r="11" spans="1:39" s="147" customFormat="1" ht="15" x14ac:dyDescent="0.25">
      <c r="B11" s="223" t="s">
        <v>496</v>
      </c>
      <c r="C11" s="248" t="s">
        <v>1033</v>
      </c>
      <c r="D11" s="151">
        <v>2</v>
      </c>
      <c r="E11" s="151">
        <v>1</v>
      </c>
      <c r="F11" s="151">
        <v>5</v>
      </c>
      <c r="G11" s="151">
        <v>1</v>
      </c>
      <c r="H11" s="151">
        <v>2</v>
      </c>
      <c r="I11" s="155" t="str">
        <f t="shared" si="2"/>
        <v>2,1,5,1,2</v>
      </c>
      <c r="J11" s="156" t="str">
        <f t="shared" si="0"/>
        <v>Requirements not met</v>
      </c>
      <c r="K11" s="157" t="str">
        <f t="shared" si="1"/>
        <v>Not OK</v>
      </c>
    </row>
    <row r="12" spans="1:39" s="147" customFormat="1" ht="15" x14ac:dyDescent="0.25">
      <c r="B12" s="223" t="s">
        <v>497</v>
      </c>
      <c r="C12" s="248" t="s">
        <v>1033</v>
      </c>
      <c r="D12" s="151">
        <v>2</v>
      </c>
      <c r="E12" s="151">
        <v>1</v>
      </c>
      <c r="F12" s="151">
        <v>5</v>
      </c>
      <c r="G12" s="151">
        <v>1</v>
      </c>
      <c r="H12" s="151">
        <v>2</v>
      </c>
      <c r="I12" s="155" t="str">
        <f t="shared" si="2"/>
        <v>2,1,5,1,2</v>
      </c>
      <c r="J12" s="156" t="str">
        <f t="shared" si="0"/>
        <v>Requirements not met</v>
      </c>
      <c r="K12" s="157" t="str">
        <f t="shared" si="1"/>
        <v>Not OK</v>
      </c>
    </row>
    <row r="13" spans="1:39" s="147" customFormat="1" ht="15" x14ac:dyDescent="0.25">
      <c r="B13" s="223" t="s">
        <v>498</v>
      </c>
      <c r="C13" s="248" t="s">
        <v>1033</v>
      </c>
      <c r="D13" s="151">
        <v>2</v>
      </c>
      <c r="E13" s="151">
        <v>1</v>
      </c>
      <c r="F13" s="151">
        <v>5</v>
      </c>
      <c r="G13" s="151">
        <v>1</v>
      </c>
      <c r="H13" s="151">
        <v>2</v>
      </c>
      <c r="I13" s="155" t="str">
        <f t="shared" si="2"/>
        <v>2,1,5,1,2</v>
      </c>
      <c r="J13" s="156" t="str">
        <f t="shared" si="0"/>
        <v>Requirements not met</v>
      </c>
      <c r="K13" s="157" t="str">
        <f t="shared" si="1"/>
        <v>Not OK</v>
      </c>
    </row>
    <row r="14" spans="1:39" s="147" customFormat="1" ht="15" x14ac:dyDescent="0.25">
      <c r="B14" s="223" t="s">
        <v>499</v>
      </c>
      <c r="C14" s="248" t="s">
        <v>1033</v>
      </c>
      <c r="D14" s="151">
        <v>2</v>
      </c>
      <c r="E14" s="151">
        <v>1</v>
      </c>
      <c r="F14" s="151">
        <v>5</v>
      </c>
      <c r="G14" s="151">
        <v>1</v>
      </c>
      <c r="H14" s="151">
        <v>2</v>
      </c>
      <c r="I14" s="155" t="str">
        <f t="shared" si="2"/>
        <v>2,1,5,1,2</v>
      </c>
      <c r="J14" s="156" t="str">
        <f t="shared" si="0"/>
        <v>Requirements not met</v>
      </c>
      <c r="K14" s="157" t="str">
        <f t="shared" si="1"/>
        <v>Not OK</v>
      </c>
    </row>
    <row r="15" spans="1:39" s="147" customFormat="1" ht="15" x14ac:dyDescent="0.25">
      <c r="B15" s="223" t="s">
        <v>500</v>
      </c>
      <c r="C15" s="248" t="s">
        <v>1033</v>
      </c>
      <c r="D15" s="151">
        <v>2</v>
      </c>
      <c r="E15" s="151">
        <v>1</v>
      </c>
      <c r="F15" s="151">
        <v>5</v>
      </c>
      <c r="G15" s="151">
        <v>1</v>
      </c>
      <c r="H15" s="151">
        <v>2</v>
      </c>
      <c r="I15" s="155" t="str">
        <f t="shared" si="2"/>
        <v>2,1,5,1,2</v>
      </c>
      <c r="J15" s="156" t="str">
        <f t="shared" si="0"/>
        <v>Requirements not met</v>
      </c>
      <c r="K15" s="157" t="str">
        <f t="shared" si="1"/>
        <v>Not OK</v>
      </c>
    </row>
    <row r="16" spans="1:39" s="147" customFormat="1" ht="15" x14ac:dyDescent="0.25">
      <c r="B16" s="223" t="s">
        <v>501</v>
      </c>
      <c r="C16" s="248" t="s">
        <v>1033</v>
      </c>
      <c r="D16" s="151">
        <v>2</v>
      </c>
      <c r="E16" s="151">
        <v>1</v>
      </c>
      <c r="F16" s="151">
        <v>5</v>
      </c>
      <c r="G16" s="151">
        <v>1</v>
      </c>
      <c r="H16" s="151">
        <v>2</v>
      </c>
      <c r="I16" s="155" t="str">
        <f t="shared" si="2"/>
        <v>2,1,5,1,2</v>
      </c>
      <c r="J16" s="156" t="str">
        <f t="shared" si="0"/>
        <v>Requirements not met</v>
      </c>
      <c r="K16" s="157" t="str">
        <f t="shared" si="1"/>
        <v>Not OK</v>
      </c>
    </row>
    <row r="17" spans="2:11" s="147" customFormat="1" ht="15" x14ac:dyDescent="0.25">
      <c r="B17" s="223" t="s">
        <v>502</v>
      </c>
      <c r="C17" s="248" t="s">
        <v>1033</v>
      </c>
      <c r="D17" s="151">
        <v>2</v>
      </c>
      <c r="E17" s="151">
        <v>1</v>
      </c>
      <c r="F17" s="151">
        <v>5</v>
      </c>
      <c r="G17" s="151">
        <v>1</v>
      </c>
      <c r="H17" s="151">
        <v>2</v>
      </c>
      <c r="I17" s="155" t="str">
        <f t="shared" si="2"/>
        <v>2,1,5,1,2</v>
      </c>
      <c r="J17" s="156" t="str">
        <f t="shared" si="0"/>
        <v>Requirements not met</v>
      </c>
      <c r="K17" s="157" t="str">
        <f t="shared" si="1"/>
        <v>Not OK</v>
      </c>
    </row>
    <row r="18" spans="2:11" s="147" customFormat="1" ht="15" x14ac:dyDescent="0.25">
      <c r="B18" s="223" t="s">
        <v>503</v>
      </c>
      <c r="C18" s="248" t="s">
        <v>1033</v>
      </c>
      <c r="D18" s="151">
        <v>2</v>
      </c>
      <c r="E18" s="151">
        <v>1</v>
      </c>
      <c r="F18" s="151">
        <v>5</v>
      </c>
      <c r="G18" s="151">
        <v>1</v>
      </c>
      <c r="H18" s="151">
        <v>2</v>
      </c>
      <c r="I18" s="155" t="str">
        <f t="shared" si="2"/>
        <v>2,1,5,1,2</v>
      </c>
      <c r="J18" s="156" t="str">
        <f t="shared" si="0"/>
        <v>Requirements not met</v>
      </c>
      <c r="K18" s="157" t="str">
        <f t="shared" si="1"/>
        <v>Not OK</v>
      </c>
    </row>
    <row r="19" spans="2:11" s="147" customFormat="1" ht="15" x14ac:dyDescent="0.25">
      <c r="B19" s="223" t="s">
        <v>504</v>
      </c>
      <c r="C19" s="248" t="s">
        <v>1033</v>
      </c>
      <c r="D19" s="151">
        <v>2</v>
      </c>
      <c r="E19" s="151">
        <v>1</v>
      </c>
      <c r="F19" s="151">
        <v>5</v>
      </c>
      <c r="G19" s="151">
        <v>1</v>
      </c>
      <c r="H19" s="151">
        <v>2</v>
      </c>
      <c r="I19" s="155" t="str">
        <f t="shared" si="2"/>
        <v>2,1,5,1,2</v>
      </c>
      <c r="J19" s="156" t="str">
        <f t="shared" si="0"/>
        <v>Requirements not met</v>
      </c>
      <c r="K19" s="157" t="str">
        <f t="shared" si="1"/>
        <v>Not OK</v>
      </c>
    </row>
    <row r="20" spans="2:11" s="147" customFormat="1" ht="15" x14ac:dyDescent="0.25">
      <c r="B20" s="223" t="s">
        <v>505</v>
      </c>
      <c r="C20" s="248" t="s">
        <v>1033</v>
      </c>
      <c r="D20" s="151">
        <v>2</v>
      </c>
      <c r="E20" s="151">
        <v>1</v>
      </c>
      <c r="F20" s="151">
        <v>5</v>
      </c>
      <c r="G20" s="151">
        <v>1</v>
      </c>
      <c r="H20" s="151">
        <v>2</v>
      </c>
      <c r="I20" s="155" t="str">
        <f t="shared" si="2"/>
        <v>2,1,5,1,2</v>
      </c>
      <c r="J20" s="156" t="str">
        <f t="shared" si="0"/>
        <v>Requirements not met</v>
      </c>
      <c r="K20" s="157" t="str">
        <f t="shared" si="1"/>
        <v>Not OK</v>
      </c>
    </row>
    <row r="21" spans="2:11" s="147" customFormat="1" ht="15" x14ac:dyDescent="0.25">
      <c r="B21" s="223" t="s">
        <v>506</v>
      </c>
      <c r="C21" s="248" t="s">
        <v>1033</v>
      </c>
      <c r="D21" s="151">
        <v>2</v>
      </c>
      <c r="E21" s="151">
        <v>1</v>
      </c>
      <c r="F21" s="151">
        <v>5</v>
      </c>
      <c r="G21" s="151">
        <v>1</v>
      </c>
      <c r="H21" s="151">
        <v>2</v>
      </c>
      <c r="I21" s="155" t="str">
        <f t="shared" si="2"/>
        <v>2,1,5,1,2</v>
      </c>
      <c r="J21" s="156" t="str">
        <f t="shared" si="0"/>
        <v>Requirements not met</v>
      </c>
      <c r="K21" s="157" t="str">
        <f t="shared" si="1"/>
        <v>Not OK</v>
      </c>
    </row>
    <row r="22" spans="2:11" s="147" customFormat="1" ht="15" x14ac:dyDescent="0.25">
      <c r="B22" s="223" t="s">
        <v>507</v>
      </c>
      <c r="C22" s="248" t="s">
        <v>1033</v>
      </c>
      <c r="D22" s="151">
        <v>2</v>
      </c>
      <c r="E22" s="151">
        <v>1</v>
      </c>
      <c r="F22" s="151">
        <v>5</v>
      </c>
      <c r="G22" s="151">
        <v>1</v>
      </c>
      <c r="H22" s="151">
        <v>2</v>
      </c>
      <c r="I22" s="155" t="str">
        <f t="shared" si="2"/>
        <v>2,1,5,1,2</v>
      </c>
      <c r="J22" s="156" t="str">
        <f t="shared" si="0"/>
        <v>Requirements not met</v>
      </c>
      <c r="K22" s="157" t="str">
        <f t="shared" si="1"/>
        <v>Not OK</v>
      </c>
    </row>
    <row r="23" spans="2:11" s="147" customFormat="1" ht="15" x14ac:dyDescent="0.25">
      <c r="B23" s="223" t="s">
        <v>508</v>
      </c>
      <c r="C23" s="248" t="s">
        <v>1033</v>
      </c>
      <c r="D23" s="151">
        <v>2</v>
      </c>
      <c r="E23" s="151">
        <v>1</v>
      </c>
      <c r="F23" s="151">
        <v>5</v>
      </c>
      <c r="G23" s="151">
        <v>1</v>
      </c>
      <c r="H23" s="151">
        <v>2</v>
      </c>
      <c r="I23" s="155" t="str">
        <f t="shared" si="2"/>
        <v>2,1,5,1,2</v>
      </c>
      <c r="J23" s="156" t="str">
        <f t="shared" si="0"/>
        <v>Requirements not met</v>
      </c>
      <c r="K23" s="157" t="str">
        <f t="shared" si="1"/>
        <v>Not OK</v>
      </c>
    </row>
    <row r="24" spans="2:11" s="147" customFormat="1" ht="15" x14ac:dyDescent="0.25">
      <c r="B24" s="223" t="s">
        <v>509</v>
      </c>
      <c r="C24" s="248" t="s">
        <v>1033</v>
      </c>
      <c r="D24" s="151">
        <v>2</v>
      </c>
      <c r="E24" s="151">
        <v>1</v>
      </c>
      <c r="F24" s="151">
        <v>5</v>
      </c>
      <c r="G24" s="151">
        <v>1</v>
      </c>
      <c r="H24" s="151">
        <v>2</v>
      </c>
      <c r="I24" s="155" t="str">
        <f t="shared" si="2"/>
        <v>2,1,5,1,2</v>
      </c>
      <c r="J24" s="156" t="str">
        <f t="shared" si="0"/>
        <v>Requirements not met</v>
      </c>
      <c r="K24" s="157" t="str">
        <f t="shared" si="1"/>
        <v>Not OK</v>
      </c>
    </row>
    <row r="25" spans="2:11" s="147" customFormat="1" ht="15" x14ac:dyDescent="0.25">
      <c r="B25" s="223" t="s">
        <v>510</v>
      </c>
      <c r="C25" s="248" t="s">
        <v>1033</v>
      </c>
      <c r="D25" s="151">
        <v>2</v>
      </c>
      <c r="E25" s="151">
        <v>1</v>
      </c>
      <c r="F25" s="151">
        <v>5</v>
      </c>
      <c r="G25" s="151">
        <v>1</v>
      </c>
      <c r="H25" s="151">
        <v>2</v>
      </c>
      <c r="I25" s="155" t="str">
        <f t="shared" si="2"/>
        <v>2,1,5,1,2</v>
      </c>
      <c r="J25" s="156" t="str">
        <f t="shared" si="0"/>
        <v>Requirements not met</v>
      </c>
      <c r="K25" s="157" t="str">
        <f t="shared" si="1"/>
        <v>Not OK</v>
      </c>
    </row>
    <row r="26" spans="2:11" s="147" customFormat="1" ht="15" x14ac:dyDescent="0.25">
      <c r="B26" s="223" t="s">
        <v>511</v>
      </c>
      <c r="C26" s="248" t="s">
        <v>1033</v>
      </c>
      <c r="D26" s="151">
        <v>2</v>
      </c>
      <c r="E26" s="151">
        <v>1</v>
      </c>
      <c r="F26" s="151">
        <v>5</v>
      </c>
      <c r="G26" s="151">
        <v>1</v>
      </c>
      <c r="H26" s="151">
        <v>2</v>
      </c>
      <c r="I26" s="155" t="str">
        <f t="shared" si="2"/>
        <v>2,1,5,1,2</v>
      </c>
      <c r="J26" s="156" t="str">
        <f t="shared" si="0"/>
        <v>Requirements not met</v>
      </c>
      <c r="K26" s="157" t="str">
        <f t="shared" si="1"/>
        <v>Not OK</v>
      </c>
    </row>
    <row r="27" spans="2:11" s="147" customFormat="1" ht="15" x14ac:dyDescent="0.25">
      <c r="B27" s="224" t="s">
        <v>512</v>
      </c>
      <c r="C27" s="248" t="s">
        <v>1033</v>
      </c>
      <c r="D27" s="151">
        <v>2</v>
      </c>
      <c r="E27" s="151">
        <v>1</v>
      </c>
      <c r="F27" s="151">
        <v>5</v>
      </c>
      <c r="G27" s="151">
        <v>1</v>
      </c>
      <c r="H27" s="151">
        <v>2</v>
      </c>
      <c r="I27" s="155" t="str">
        <f t="shared" si="2"/>
        <v>2,1,5,1,2</v>
      </c>
      <c r="J27" s="156" t="str">
        <f t="shared" si="0"/>
        <v>Requirements not met</v>
      </c>
      <c r="K27" s="157" t="str">
        <f t="shared" si="1"/>
        <v>Not OK</v>
      </c>
    </row>
    <row r="28" spans="2:11" s="147" customFormat="1" ht="15" x14ac:dyDescent="0.25">
      <c r="B28" s="223" t="s">
        <v>513</v>
      </c>
      <c r="C28" s="248" t="s">
        <v>1033</v>
      </c>
      <c r="D28" s="151">
        <v>2</v>
      </c>
      <c r="E28" s="151">
        <v>1</v>
      </c>
      <c r="F28" s="151">
        <v>5</v>
      </c>
      <c r="G28" s="151">
        <v>1</v>
      </c>
      <c r="H28" s="151">
        <v>2</v>
      </c>
      <c r="I28" s="155" t="str">
        <f t="shared" si="2"/>
        <v>2,1,5,1,2</v>
      </c>
      <c r="J28" s="156" t="str">
        <f t="shared" si="0"/>
        <v>Requirements not met</v>
      </c>
      <c r="K28" s="157" t="str">
        <f t="shared" si="1"/>
        <v>Not OK</v>
      </c>
    </row>
    <row r="29" spans="2:11" s="147" customFormat="1" ht="15" x14ac:dyDescent="0.25">
      <c r="B29" s="224" t="s">
        <v>514</v>
      </c>
      <c r="C29" s="248" t="s">
        <v>1033</v>
      </c>
      <c r="D29" s="151">
        <v>2</v>
      </c>
      <c r="E29" s="151">
        <v>1</v>
      </c>
      <c r="F29" s="151">
        <v>5</v>
      </c>
      <c r="G29" s="151">
        <v>1</v>
      </c>
      <c r="H29" s="151">
        <v>2</v>
      </c>
      <c r="I29" s="155" t="str">
        <f t="shared" si="2"/>
        <v>2,1,5,1,2</v>
      </c>
      <c r="J29" s="156" t="str">
        <f t="shared" si="0"/>
        <v>Requirements not met</v>
      </c>
      <c r="K29" s="157" t="str">
        <f t="shared" si="1"/>
        <v>Not OK</v>
      </c>
    </row>
    <row r="30" spans="2:11" s="147" customFormat="1" ht="15" x14ac:dyDescent="0.25">
      <c r="B30" s="223" t="s">
        <v>515</v>
      </c>
      <c r="C30" s="248" t="s">
        <v>1033</v>
      </c>
      <c r="D30" s="151">
        <v>2</v>
      </c>
      <c r="E30" s="151">
        <v>1</v>
      </c>
      <c r="F30" s="151">
        <v>5</v>
      </c>
      <c r="G30" s="151">
        <v>1</v>
      </c>
      <c r="H30" s="151">
        <v>2</v>
      </c>
      <c r="I30" s="155" t="str">
        <f t="shared" si="2"/>
        <v>2,1,5,1,2</v>
      </c>
      <c r="J30" s="156" t="str">
        <f t="shared" si="0"/>
        <v>Requirements not met</v>
      </c>
      <c r="K30" s="157" t="str">
        <f t="shared" si="1"/>
        <v>Not OK</v>
      </c>
    </row>
    <row r="31" spans="2:11" s="147" customFormat="1" ht="15" x14ac:dyDescent="0.25">
      <c r="B31" s="223" t="s">
        <v>516</v>
      </c>
      <c r="C31" s="248" t="s">
        <v>1033</v>
      </c>
      <c r="D31" s="151">
        <v>2</v>
      </c>
      <c r="E31" s="151">
        <v>1</v>
      </c>
      <c r="F31" s="151">
        <v>5</v>
      </c>
      <c r="G31" s="151">
        <v>1</v>
      </c>
      <c r="H31" s="151">
        <v>2</v>
      </c>
      <c r="I31" s="155" t="str">
        <f t="shared" si="2"/>
        <v>2,1,5,1,2</v>
      </c>
      <c r="J31" s="156" t="str">
        <f t="shared" si="0"/>
        <v>Requirements not met</v>
      </c>
      <c r="K31" s="157" t="str">
        <f t="shared" si="1"/>
        <v>Not OK</v>
      </c>
    </row>
    <row r="32" spans="2:11" s="147" customFormat="1" ht="15" x14ac:dyDescent="0.25">
      <c r="B32" s="223" t="s">
        <v>517</v>
      </c>
      <c r="C32" s="248" t="s">
        <v>1033</v>
      </c>
      <c r="D32" s="151">
        <v>2</v>
      </c>
      <c r="E32" s="151">
        <v>1</v>
      </c>
      <c r="F32" s="151">
        <v>5</v>
      </c>
      <c r="G32" s="151">
        <v>1</v>
      </c>
      <c r="H32" s="151">
        <v>2</v>
      </c>
      <c r="I32" s="155" t="str">
        <f t="shared" si="2"/>
        <v>2,1,5,1,2</v>
      </c>
      <c r="J32" s="156" t="str">
        <f t="shared" si="0"/>
        <v>Requirements not met</v>
      </c>
      <c r="K32" s="157" t="str">
        <f t="shared" si="1"/>
        <v>Not OK</v>
      </c>
    </row>
    <row r="33" spans="2:11" s="147" customFormat="1" ht="15" x14ac:dyDescent="0.25">
      <c r="B33" s="223" t="s">
        <v>518</v>
      </c>
      <c r="C33" s="248" t="s">
        <v>1033</v>
      </c>
      <c r="D33" s="151">
        <v>2</v>
      </c>
      <c r="E33" s="151">
        <v>1</v>
      </c>
      <c r="F33" s="151">
        <v>5</v>
      </c>
      <c r="G33" s="151">
        <v>1</v>
      </c>
      <c r="H33" s="151">
        <v>2</v>
      </c>
      <c r="I33" s="155" t="str">
        <f t="shared" si="2"/>
        <v>2,1,5,1,2</v>
      </c>
      <c r="J33" s="156" t="str">
        <f t="shared" si="0"/>
        <v>Requirements not met</v>
      </c>
      <c r="K33" s="157" t="str">
        <f t="shared" si="1"/>
        <v>Not OK</v>
      </c>
    </row>
    <row r="34" spans="2:11" s="147" customFormat="1" ht="15" x14ac:dyDescent="0.25">
      <c r="B34" s="223" t="s">
        <v>519</v>
      </c>
      <c r="C34" s="248" t="s">
        <v>1033</v>
      </c>
      <c r="D34" s="151">
        <v>2</v>
      </c>
      <c r="E34" s="151">
        <v>1</v>
      </c>
      <c r="F34" s="151">
        <v>5</v>
      </c>
      <c r="G34" s="151">
        <v>1</v>
      </c>
      <c r="H34" s="151">
        <v>2</v>
      </c>
      <c r="I34" s="155" t="str">
        <f t="shared" si="2"/>
        <v>2,1,5,1,2</v>
      </c>
      <c r="J34" s="156" t="str">
        <f t="shared" si="0"/>
        <v>Requirements not met</v>
      </c>
      <c r="K34" s="157" t="str">
        <f t="shared" si="1"/>
        <v>Not OK</v>
      </c>
    </row>
    <row r="35" spans="2:11" s="147" customFormat="1" ht="15" x14ac:dyDescent="0.25">
      <c r="B35" s="223" t="s">
        <v>520</v>
      </c>
      <c r="C35" s="248" t="s">
        <v>1033</v>
      </c>
      <c r="D35" s="151">
        <v>2</v>
      </c>
      <c r="E35" s="151">
        <v>1</v>
      </c>
      <c r="F35" s="151">
        <v>5</v>
      </c>
      <c r="G35" s="151">
        <v>1</v>
      </c>
      <c r="H35" s="151">
        <v>2</v>
      </c>
      <c r="I35" s="155" t="str">
        <f t="shared" si="2"/>
        <v>2,1,5,1,2</v>
      </c>
      <c r="J35" s="156" t="str">
        <f t="shared" si="0"/>
        <v>Requirements not met</v>
      </c>
      <c r="K35" s="157" t="str">
        <f t="shared" si="1"/>
        <v>Not OK</v>
      </c>
    </row>
    <row r="36" spans="2:11" s="147" customFormat="1" ht="15" x14ac:dyDescent="0.25">
      <c r="B36" s="223" t="s">
        <v>521</v>
      </c>
      <c r="C36" s="248" t="s">
        <v>1033</v>
      </c>
      <c r="D36" s="151">
        <v>2</v>
      </c>
      <c r="E36" s="151">
        <v>1</v>
      </c>
      <c r="F36" s="151">
        <v>5</v>
      </c>
      <c r="G36" s="151">
        <v>1</v>
      </c>
      <c r="H36" s="151">
        <v>2</v>
      </c>
      <c r="I36" s="155" t="str">
        <f t="shared" si="2"/>
        <v>2,1,5,1,2</v>
      </c>
      <c r="J36" s="156" t="str">
        <f t="shared" si="0"/>
        <v>Requirements not met</v>
      </c>
      <c r="K36" s="157" t="str">
        <f t="shared" si="1"/>
        <v>Not OK</v>
      </c>
    </row>
    <row r="37" spans="2:11" s="147" customFormat="1" ht="15" x14ac:dyDescent="0.25">
      <c r="B37" s="223" t="s">
        <v>522</v>
      </c>
      <c r="C37" s="248" t="s">
        <v>1033</v>
      </c>
      <c r="D37" s="151">
        <v>2</v>
      </c>
      <c r="E37" s="151">
        <v>1</v>
      </c>
      <c r="F37" s="151">
        <v>5</v>
      </c>
      <c r="G37" s="151">
        <v>1</v>
      </c>
      <c r="H37" s="151">
        <v>2</v>
      </c>
      <c r="I37" s="155" t="str">
        <f t="shared" si="2"/>
        <v>2,1,5,1,2</v>
      </c>
      <c r="J37" s="156" t="str">
        <f t="shared" si="0"/>
        <v>Requirements not met</v>
      </c>
      <c r="K37" s="157" t="str">
        <f t="shared" si="1"/>
        <v>Not OK</v>
      </c>
    </row>
    <row r="38" spans="2:11" s="147" customFormat="1" ht="15" x14ac:dyDescent="0.25">
      <c r="B38" s="223" t="s">
        <v>523</v>
      </c>
      <c r="C38" s="248" t="s">
        <v>1033</v>
      </c>
      <c r="D38" s="151">
        <v>2</v>
      </c>
      <c r="E38" s="151">
        <v>1</v>
      </c>
      <c r="F38" s="151">
        <v>5</v>
      </c>
      <c r="G38" s="151">
        <v>1</v>
      </c>
      <c r="H38" s="151">
        <v>2</v>
      </c>
      <c r="I38" s="155" t="str">
        <f t="shared" si="2"/>
        <v>2,1,5,1,2</v>
      </c>
      <c r="J38" s="156" t="str">
        <f t="shared" si="0"/>
        <v>Requirements not met</v>
      </c>
      <c r="K38" s="157" t="str">
        <f t="shared" si="1"/>
        <v>Not OK</v>
      </c>
    </row>
    <row r="39" spans="2:11" s="147" customFormat="1" ht="15" x14ac:dyDescent="0.25">
      <c r="B39" s="223" t="s">
        <v>524</v>
      </c>
      <c r="C39" s="248" t="s">
        <v>1033</v>
      </c>
      <c r="D39" s="151">
        <v>2</v>
      </c>
      <c r="E39" s="151">
        <v>1</v>
      </c>
      <c r="F39" s="151">
        <v>5</v>
      </c>
      <c r="G39" s="151">
        <v>1</v>
      </c>
      <c r="H39" s="151">
        <v>2</v>
      </c>
      <c r="I39" s="155" t="str">
        <f t="shared" si="2"/>
        <v>2,1,5,1,2</v>
      </c>
      <c r="J39" s="156" t="str">
        <f t="shared" si="0"/>
        <v>Requirements not met</v>
      </c>
      <c r="K39" s="157" t="str">
        <f t="shared" si="1"/>
        <v>Not OK</v>
      </c>
    </row>
    <row r="40" spans="2:11" s="147" customFormat="1" ht="15" x14ac:dyDescent="0.25">
      <c r="B40" s="223" t="s">
        <v>525</v>
      </c>
      <c r="C40" s="248" t="s">
        <v>1033</v>
      </c>
      <c r="D40" s="151">
        <v>2</v>
      </c>
      <c r="E40" s="151">
        <v>1</v>
      </c>
      <c r="F40" s="151">
        <v>5</v>
      </c>
      <c r="G40" s="151">
        <v>1</v>
      </c>
      <c r="H40" s="151">
        <v>2</v>
      </c>
      <c r="I40" s="155" t="str">
        <f t="shared" si="2"/>
        <v>2,1,5,1,2</v>
      </c>
      <c r="J40" s="156" t="str">
        <f t="shared" si="0"/>
        <v>Requirements not met</v>
      </c>
      <c r="K40" s="157" t="str">
        <f t="shared" si="1"/>
        <v>Not OK</v>
      </c>
    </row>
    <row r="41" spans="2:11" s="147" customFormat="1" ht="15" x14ac:dyDescent="0.25">
      <c r="B41" s="223" t="s">
        <v>526</v>
      </c>
      <c r="C41" s="248" t="s">
        <v>1033</v>
      </c>
      <c r="D41" s="151">
        <v>2</v>
      </c>
      <c r="E41" s="151">
        <v>1</v>
      </c>
      <c r="F41" s="151">
        <v>5</v>
      </c>
      <c r="G41" s="151">
        <v>1</v>
      </c>
      <c r="H41" s="151">
        <v>2</v>
      </c>
      <c r="I41" s="155" t="str">
        <f t="shared" si="2"/>
        <v>2,1,5,1,2</v>
      </c>
      <c r="J41" s="156" t="str">
        <f t="shared" si="0"/>
        <v>Requirements not met</v>
      </c>
      <c r="K41" s="157" t="str">
        <f t="shared" si="1"/>
        <v>Not OK</v>
      </c>
    </row>
    <row r="42" spans="2:11" s="147" customFormat="1" ht="15" x14ac:dyDescent="0.25">
      <c r="B42" s="223" t="s">
        <v>527</v>
      </c>
      <c r="C42" s="248" t="s">
        <v>1033</v>
      </c>
      <c r="D42" s="151">
        <v>2</v>
      </c>
      <c r="E42" s="151">
        <v>1</v>
      </c>
      <c r="F42" s="151">
        <v>5</v>
      </c>
      <c r="G42" s="151">
        <v>1</v>
      </c>
      <c r="H42" s="151">
        <v>2</v>
      </c>
      <c r="I42" s="155" t="str">
        <f t="shared" si="2"/>
        <v>2,1,5,1,2</v>
      </c>
      <c r="J42" s="156" t="str">
        <f t="shared" si="0"/>
        <v>Requirements not met</v>
      </c>
      <c r="K42" s="157" t="str">
        <f t="shared" si="1"/>
        <v>Not OK</v>
      </c>
    </row>
    <row r="43" spans="2:11" s="147" customFormat="1" ht="15" x14ac:dyDescent="0.25">
      <c r="B43" s="223" t="s">
        <v>528</v>
      </c>
      <c r="C43" s="248" t="s">
        <v>1033</v>
      </c>
      <c r="D43" s="151">
        <v>2</v>
      </c>
      <c r="E43" s="151">
        <v>1</v>
      </c>
      <c r="F43" s="151">
        <v>5</v>
      </c>
      <c r="G43" s="151">
        <v>1</v>
      </c>
      <c r="H43" s="151">
        <v>2</v>
      </c>
      <c r="I43" s="155" t="str">
        <f t="shared" si="2"/>
        <v>2,1,5,1,2</v>
      </c>
      <c r="J43" s="156" t="str">
        <f t="shared" si="0"/>
        <v>Requirements not met</v>
      </c>
      <c r="K43" s="157" t="str">
        <f t="shared" si="1"/>
        <v>Not OK</v>
      </c>
    </row>
    <row r="44" spans="2:11" s="147" customFormat="1" ht="15" x14ac:dyDescent="0.25">
      <c r="B44" s="223" t="s">
        <v>529</v>
      </c>
      <c r="C44" s="248" t="s">
        <v>1033</v>
      </c>
      <c r="D44" s="151">
        <v>2</v>
      </c>
      <c r="E44" s="151">
        <v>1</v>
      </c>
      <c r="F44" s="151">
        <v>5</v>
      </c>
      <c r="G44" s="151">
        <v>1</v>
      </c>
      <c r="H44" s="151">
        <v>2</v>
      </c>
      <c r="I44" s="155" t="str">
        <f t="shared" si="2"/>
        <v>2,1,5,1,2</v>
      </c>
      <c r="J44" s="156" t="str">
        <f t="shared" si="0"/>
        <v>Requirements not met</v>
      </c>
      <c r="K44" s="157" t="str">
        <f t="shared" si="1"/>
        <v>Not OK</v>
      </c>
    </row>
    <row r="45" spans="2:11" s="147" customFormat="1" ht="15" x14ac:dyDescent="0.25">
      <c r="B45" s="223" t="s">
        <v>530</v>
      </c>
      <c r="C45" s="248" t="s">
        <v>1033</v>
      </c>
      <c r="D45" s="151">
        <v>2</v>
      </c>
      <c r="E45" s="151">
        <v>1</v>
      </c>
      <c r="F45" s="151">
        <v>5</v>
      </c>
      <c r="G45" s="151">
        <v>1</v>
      </c>
      <c r="H45" s="151">
        <v>2</v>
      </c>
      <c r="I45" s="155" t="str">
        <f t="shared" si="2"/>
        <v>2,1,5,1,2</v>
      </c>
      <c r="J45" s="156" t="str">
        <f t="shared" si="0"/>
        <v>Requirements not met</v>
      </c>
      <c r="K45" s="157" t="str">
        <f t="shared" si="1"/>
        <v>Not OK</v>
      </c>
    </row>
    <row r="46" spans="2:11" s="147" customFormat="1" ht="15" x14ac:dyDescent="0.25">
      <c r="B46" s="223" t="s">
        <v>531</v>
      </c>
      <c r="C46" s="248" t="s">
        <v>1033</v>
      </c>
      <c r="D46" s="151">
        <v>2</v>
      </c>
      <c r="E46" s="151">
        <v>1</v>
      </c>
      <c r="F46" s="151">
        <v>5</v>
      </c>
      <c r="G46" s="151">
        <v>1</v>
      </c>
      <c r="H46" s="151">
        <v>2</v>
      </c>
      <c r="I46" s="155" t="str">
        <f t="shared" si="2"/>
        <v>2,1,5,1,2</v>
      </c>
      <c r="J46" s="156" t="str">
        <f t="shared" si="0"/>
        <v>Requirements not met</v>
      </c>
      <c r="K46" s="157" t="str">
        <f t="shared" si="1"/>
        <v>Not OK</v>
      </c>
    </row>
    <row r="47" spans="2:11" s="147" customFormat="1" ht="15" x14ac:dyDescent="0.25">
      <c r="B47" s="223" t="s">
        <v>532</v>
      </c>
      <c r="C47" s="248" t="s">
        <v>1033</v>
      </c>
      <c r="D47" s="151">
        <v>2</v>
      </c>
      <c r="E47" s="151">
        <v>1</v>
      </c>
      <c r="F47" s="151">
        <v>5</v>
      </c>
      <c r="G47" s="151">
        <v>1</v>
      </c>
      <c r="H47" s="151">
        <v>2</v>
      </c>
      <c r="I47" s="155" t="str">
        <f t="shared" si="2"/>
        <v>2,1,5,1,2</v>
      </c>
      <c r="J47" s="156" t="str">
        <f t="shared" si="0"/>
        <v>Requirements not met</v>
      </c>
      <c r="K47" s="157" t="str">
        <f t="shared" si="1"/>
        <v>Not OK</v>
      </c>
    </row>
    <row r="48" spans="2:11" s="147" customFormat="1" ht="15" x14ac:dyDescent="0.25">
      <c r="B48" s="223" t="s">
        <v>533</v>
      </c>
      <c r="C48" s="248" t="s">
        <v>1033</v>
      </c>
      <c r="D48" s="151">
        <v>2</v>
      </c>
      <c r="E48" s="151">
        <v>1</v>
      </c>
      <c r="F48" s="151">
        <v>5</v>
      </c>
      <c r="G48" s="151">
        <v>1</v>
      </c>
      <c r="H48" s="151">
        <v>2</v>
      </c>
      <c r="I48" s="155" t="str">
        <f t="shared" si="2"/>
        <v>2,1,5,1,2</v>
      </c>
      <c r="J48" s="156" t="str">
        <f t="shared" si="0"/>
        <v>Requirements not met</v>
      </c>
      <c r="K48" s="157" t="str">
        <f t="shared" si="1"/>
        <v>Not OK</v>
      </c>
    </row>
    <row r="49" spans="2:11" s="147" customFormat="1" ht="15" x14ac:dyDescent="0.25">
      <c r="B49" s="224" t="s">
        <v>534</v>
      </c>
      <c r="C49" s="248" t="s">
        <v>1033</v>
      </c>
      <c r="D49" s="151">
        <v>2</v>
      </c>
      <c r="E49" s="151">
        <v>1</v>
      </c>
      <c r="F49" s="151">
        <v>5</v>
      </c>
      <c r="G49" s="151">
        <v>1</v>
      </c>
      <c r="H49" s="151">
        <v>2</v>
      </c>
      <c r="I49" s="155" t="str">
        <f t="shared" si="2"/>
        <v>2,1,5,1,2</v>
      </c>
      <c r="J49" s="156" t="str">
        <f t="shared" si="0"/>
        <v>Requirements not met</v>
      </c>
      <c r="K49" s="157" t="str">
        <f t="shared" si="1"/>
        <v>Not OK</v>
      </c>
    </row>
    <row r="50" spans="2:11" s="147" customFormat="1" ht="15" x14ac:dyDescent="0.25">
      <c r="B50" s="223" t="s">
        <v>535</v>
      </c>
      <c r="C50" s="248" t="s">
        <v>1033</v>
      </c>
      <c r="D50" s="151">
        <v>2</v>
      </c>
      <c r="E50" s="151">
        <v>1</v>
      </c>
      <c r="F50" s="151">
        <v>5</v>
      </c>
      <c r="G50" s="151">
        <v>1</v>
      </c>
      <c r="H50" s="151">
        <v>2</v>
      </c>
      <c r="I50" s="155" t="str">
        <f t="shared" si="2"/>
        <v>2,1,5,1,2</v>
      </c>
      <c r="J50" s="156" t="str">
        <f t="shared" si="0"/>
        <v>Requirements not met</v>
      </c>
      <c r="K50" s="157" t="str">
        <f t="shared" si="1"/>
        <v>Not OK</v>
      </c>
    </row>
    <row r="51" spans="2:11" s="147" customFormat="1" ht="15" x14ac:dyDescent="0.25">
      <c r="B51" s="223" t="s">
        <v>536</v>
      </c>
      <c r="C51" s="248" t="s">
        <v>1033</v>
      </c>
      <c r="D51" s="151">
        <v>2</v>
      </c>
      <c r="E51" s="151">
        <v>1</v>
      </c>
      <c r="F51" s="151">
        <v>5</v>
      </c>
      <c r="G51" s="151">
        <v>1</v>
      </c>
      <c r="H51" s="151">
        <v>2</v>
      </c>
      <c r="I51" s="155" t="str">
        <f t="shared" si="2"/>
        <v>2,1,5,1,2</v>
      </c>
      <c r="J51" s="156" t="str">
        <f t="shared" si="0"/>
        <v>Requirements not met</v>
      </c>
      <c r="K51" s="157" t="str">
        <f t="shared" si="1"/>
        <v>Not OK</v>
      </c>
    </row>
    <row r="52" spans="2:11" s="147" customFormat="1" ht="15" x14ac:dyDescent="0.25">
      <c r="B52" s="223" t="s">
        <v>537</v>
      </c>
      <c r="C52" s="248" t="s">
        <v>1033</v>
      </c>
      <c r="D52" s="151">
        <v>2</v>
      </c>
      <c r="E52" s="151">
        <v>1</v>
      </c>
      <c r="F52" s="151">
        <v>5</v>
      </c>
      <c r="G52" s="151">
        <v>1</v>
      </c>
      <c r="H52" s="151">
        <v>2</v>
      </c>
      <c r="I52" s="155" t="str">
        <f t="shared" si="2"/>
        <v>2,1,5,1,2</v>
      </c>
      <c r="J52" s="156" t="str">
        <f t="shared" si="0"/>
        <v>Requirements not met</v>
      </c>
      <c r="K52" s="157" t="str">
        <f t="shared" si="1"/>
        <v>Not OK</v>
      </c>
    </row>
    <row r="53" spans="2:11" s="147" customFormat="1" ht="15" x14ac:dyDescent="0.25">
      <c r="B53" s="223" t="s">
        <v>538</v>
      </c>
      <c r="C53" s="248" t="s">
        <v>1033</v>
      </c>
      <c r="D53" s="151">
        <v>2</v>
      </c>
      <c r="E53" s="151">
        <v>1</v>
      </c>
      <c r="F53" s="151">
        <v>5</v>
      </c>
      <c r="G53" s="151">
        <v>1</v>
      </c>
      <c r="H53" s="151">
        <v>2</v>
      </c>
      <c r="I53" s="155" t="str">
        <f t="shared" si="2"/>
        <v>2,1,5,1,2</v>
      </c>
      <c r="J53" s="156" t="str">
        <f t="shared" si="0"/>
        <v>Requirements not met</v>
      </c>
      <c r="K53" s="157" t="str">
        <f t="shared" si="1"/>
        <v>Not OK</v>
      </c>
    </row>
    <row r="54" spans="2:11" s="147" customFormat="1" ht="15" x14ac:dyDescent="0.25">
      <c r="B54" s="223" t="s">
        <v>539</v>
      </c>
      <c r="C54" s="248" t="s">
        <v>1033</v>
      </c>
      <c r="D54" s="151">
        <v>2</v>
      </c>
      <c r="E54" s="151">
        <v>1</v>
      </c>
      <c r="F54" s="151">
        <v>5</v>
      </c>
      <c r="G54" s="151">
        <v>1</v>
      </c>
      <c r="H54" s="151">
        <v>2</v>
      </c>
      <c r="I54" s="155" t="str">
        <f t="shared" si="2"/>
        <v>2,1,5,1,2</v>
      </c>
      <c r="J54" s="156" t="str">
        <f t="shared" si="0"/>
        <v>Requirements not met</v>
      </c>
      <c r="K54" s="157" t="str">
        <f t="shared" si="1"/>
        <v>Not OK</v>
      </c>
    </row>
    <row r="55" spans="2:11" s="147" customFormat="1" ht="15" x14ac:dyDescent="0.25">
      <c r="B55" s="223" t="s">
        <v>540</v>
      </c>
      <c r="C55" s="248" t="s">
        <v>1033</v>
      </c>
      <c r="D55" s="151">
        <v>2</v>
      </c>
      <c r="E55" s="151">
        <v>1</v>
      </c>
      <c r="F55" s="151">
        <v>5</v>
      </c>
      <c r="G55" s="151">
        <v>1</v>
      </c>
      <c r="H55" s="151">
        <v>2</v>
      </c>
      <c r="I55" s="155" t="str">
        <f t="shared" si="2"/>
        <v>2,1,5,1,2</v>
      </c>
      <c r="J55" s="156" t="str">
        <f t="shared" si="0"/>
        <v>Requirements not met</v>
      </c>
      <c r="K55" s="157" t="str">
        <f t="shared" si="1"/>
        <v>Not OK</v>
      </c>
    </row>
    <row r="56" spans="2:11" s="147" customFormat="1" ht="15" x14ac:dyDescent="0.25">
      <c r="B56" s="223" t="s">
        <v>541</v>
      </c>
      <c r="C56" s="248" t="s">
        <v>1033</v>
      </c>
      <c r="D56" s="151">
        <v>2</v>
      </c>
      <c r="E56" s="151">
        <v>1</v>
      </c>
      <c r="F56" s="151">
        <v>5</v>
      </c>
      <c r="G56" s="151">
        <v>1</v>
      </c>
      <c r="H56" s="151">
        <v>2</v>
      </c>
      <c r="I56" s="155" t="str">
        <f t="shared" si="2"/>
        <v>2,1,5,1,2</v>
      </c>
      <c r="J56" s="156" t="str">
        <f t="shared" si="0"/>
        <v>Requirements not met</v>
      </c>
      <c r="K56" s="157" t="str">
        <f t="shared" si="1"/>
        <v>Not OK</v>
      </c>
    </row>
    <row r="57" spans="2:11" s="147" customFormat="1" ht="15" x14ac:dyDescent="0.25">
      <c r="B57" s="223" t="s">
        <v>542</v>
      </c>
      <c r="C57" s="248" t="s">
        <v>1033</v>
      </c>
      <c r="D57" s="151">
        <v>2</v>
      </c>
      <c r="E57" s="151">
        <v>1</v>
      </c>
      <c r="F57" s="151">
        <v>5</v>
      </c>
      <c r="G57" s="151">
        <v>1</v>
      </c>
      <c r="H57" s="151">
        <v>2</v>
      </c>
      <c r="I57" s="155" t="str">
        <f t="shared" si="2"/>
        <v>2,1,5,1,2</v>
      </c>
      <c r="J57" s="156" t="str">
        <f t="shared" si="0"/>
        <v>Requirements not met</v>
      </c>
      <c r="K57" s="157" t="str">
        <f t="shared" si="1"/>
        <v>Not OK</v>
      </c>
    </row>
    <row r="58" spans="2:11" s="147" customFormat="1" ht="15" x14ac:dyDescent="0.25">
      <c r="B58" s="223" t="s">
        <v>543</v>
      </c>
      <c r="C58" s="248" t="s">
        <v>1033</v>
      </c>
      <c r="D58" s="151">
        <v>2</v>
      </c>
      <c r="E58" s="151">
        <v>1</v>
      </c>
      <c r="F58" s="151">
        <v>5</v>
      </c>
      <c r="G58" s="151">
        <v>1</v>
      </c>
      <c r="H58" s="151">
        <v>2</v>
      </c>
      <c r="I58" s="155" t="str">
        <f t="shared" si="2"/>
        <v>2,1,5,1,2</v>
      </c>
      <c r="J58" s="156" t="str">
        <f t="shared" si="0"/>
        <v>Requirements not met</v>
      </c>
      <c r="K58" s="157" t="str">
        <f t="shared" si="1"/>
        <v>Not OK</v>
      </c>
    </row>
    <row r="59" spans="2:11" s="147" customFormat="1" ht="15" x14ac:dyDescent="0.25">
      <c r="B59" s="223" t="s">
        <v>544</v>
      </c>
      <c r="C59" s="248" t="s">
        <v>1033</v>
      </c>
      <c r="D59" s="151">
        <v>2</v>
      </c>
      <c r="E59" s="151">
        <v>1</v>
      </c>
      <c r="F59" s="151">
        <v>5</v>
      </c>
      <c r="G59" s="151">
        <v>1</v>
      </c>
      <c r="H59" s="151">
        <v>2</v>
      </c>
      <c r="I59" s="155" t="str">
        <f t="shared" si="2"/>
        <v>2,1,5,1,2</v>
      </c>
      <c r="J59" s="156" t="str">
        <f t="shared" si="0"/>
        <v>Requirements not met</v>
      </c>
      <c r="K59" s="157" t="str">
        <f t="shared" si="1"/>
        <v>Not OK</v>
      </c>
    </row>
    <row r="60" spans="2:11" s="147" customFormat="1" ht="15" x14ac:dyDescent="0.25">
      <c r="B60" s="223" t="s">
        <v>545</v>
      </c>
      <c r="C60" s="248" t="s">
        <v>1033</v>
      </c>
      <c r="D60" s="151">
        <v>2</v>
      </c>
      <c r="E60" s="151">
        <v>1</v>
      </c>
      <c r="F60" s="151">
        <v>5</v>
      </c>
      <c r="G60" s="151">
        <v>1</v>
      </c>
      <c r="H60" s="151">
        <v>2</v>
      </c>
      <c r="I60" s="155" t="str">
        <f t="shared" si="2"/>
        <v>2,1,5,1,2</v>
      </c>
      <c r="J60" s="156" t="str">
        <f t="shared" si="0"/>
        <v>Requirements not met</v>
      </c>
      <c r="K60" s="157" t="str">
        <f t="shared" si="1"/>
        <v>Not OK</v>
      </c>
    </row>
    <row r="61" spans="2:11" s="147" customFormat="1" ht="15" x14ac:dyDescent="0.25">
      <c r="B61" s="223" t="s">
        <v>546</v>
      </c>
      <c r="C61" s="248" t="s">
        <v>1033</v>
      </c>
      <c r="D61" s="151">
        <v>2</v>
      </c>
      <c r="E61" s="151">
        <v>1</v>
      </c>
      <c r="F61" s="151">
        <v>5</v>
      </c>
      <c r="G61" s="151">
        <v>1</v>
      </c>
      <c r="H61" s="151">
        <v>2</v>
      </c>
      <c r="I61" s="155" t="str">
        <f t="shared" si="2"/>
        <v>2,1,5,1,2</v>
      </c>
      <c r="J61" s="156" t="str">
        <f t="shared" si="0"/>
        <v>Requirements not met</v>
      </c>
      <c r="K61" s="157" t="str">
        <f t="shared" si="1"/>
        <v>Not OK</v>
      </c>
    </row>
    <row r="62" spans="2:11" s="147" customFormat="1" ht="15" x14ac:dyDescent="0.25">
      <c r="B62" s="223" t="s">
        <v>547</v>
      </c>
      <c r="C62" s="248" t="s">
        <v>1033</v>
      </c>
      <c r="D62" s="151">
        <v>2</v>
      </c>
      <c r="E62" s="151">
        <v>1</v>
      </c>
      <c r="F62" s="151">
        <v>5</v>
      </c>
      <c r="G62" s="151">
        <v>1</v>
      </c>
      <c r="H62" s="151">
        <v>2</v>
      </c>
      <c r="I62" s="155" t="str">
        <f t="shared" si="2"/>
        <v>2,1,5,1,2</v>
      </c>
      <c r="J62" s="156" t="str">
        <f t="shared" si="0"/>
        <v>Requirements not met</v>
      </c>
      <c r="K62" s="157" t="str">
        <f t="shared" si="1"/>
        <v>Not OK</v>
      </c>
    </row>
    <row r="63" spans="2:11" s="147" customFormat="1" ht="15" x14ac:dyDescent="0.25">
      <c r="B63" s="224" t="s">
        <v>548</v>
      </c>
      <c r="C63" s="248" t="s">
        <v>1033</v>
      </c>
      <c r="D63" s="151">
        <v>2</v>
      </c>
      <c r="E63" s="151">
        <v>1</v>
      </c>
      <c r="F63" s="151">
        <v>5</v>
      </c>
      <c r="G63" s="151">
        <v>1</v>
      </c>
      <c r="H63" s="151">
        <v>2</v>
      </c>
      <c r="I63" s="155" t="str">
        <f t="shared" si="2"/>
        <v>2,1,5,1,2</v>
      </c>
      <c r="J63" s="156" t="str">
        <f t="shared" si="0"/>
        <v>Requirements not met</v>
      </c>
      <c r="K63" s="157" t="str">
        <f t="shared" si="1"/>
        <v>Not OK</v>
      </c>
    </row>
    <row r="64" spans="2:11" s="147" customFormat="1" ht="15" x14ac:dyDescent="0.25">
      <c r="B64" s="224" t="s">
        <v>549</v>
      </c>
      <c r="C64" s="248" t="s">
        <v>1033</v>
      </c>
      <c r="D64" s="151">
        <v>2</v>
      </c>
      <c r="E64" s="151">
        <v>1</v>
      </c>
      <c r="F64" s="151">
        <v>5</v>
      </c>
      <c r="G64" s="151">
        <v>1</v>
      </c>
      <c r="H64" s="151">
        <v>2</v>
      </c>
      <c r="I64" s="155" t="str">
        <f t="shared" si="2"/>
        <v>2,1,5,1,2</v>
      </c>
      <c r="J64" s="156" t="str">
        <f t="shared" si="0"/>
        <v>Requirements not met</v>
      </c>
      <c r="K64" s="157" t="str">
        <f t="shared" si="1"/>
        <v>Not OK</v>
      </c>
    </row>
    <row r="65" spans="2:11" s="147" customFormat="1" ht="15" x14ac:dyDescent="0.25">
      <c r="B65" s="224" t="s">
        <v>550</v>
      </c>
      <c r="C65" s="248" t="s">
        <v>1033</v>
      </c>
      <c r="D65" s="151">
        <v>2</v>
      </c>
      <c r="E65" s="151">
        <v>1</v>
      </c>
      <c r="F65" s="151">
        <v>5</v>
      </c>
      <c r="G65" s="151">
        <v>1</v>
      </c>
      <c r="H65" s="151">
        <v>2</v>
      </c>
      <c r="I65" s="155" t="str">
        <f t="shared" si="2"/>
        <v>2,1,5,1,2</v>
      </c>
      <c r="J65" s="156" t="str">
        <f t="shared" si="0"/>
        <v>Requirements not met</v>
      </c>
      <c r="K65" s="157" t="str">
        <f t="shared" si="1"/>
        <v>Not OK</v>
      </c>
    </row>
    <row r="66" spans="2:11" s="147" customFormat="1" ht="15" x14ac:dyDescent="0.25">
      <c r="B66" s="223" t="s">
        <v>551</v>
      </c>
      <c r="C66" s="248" t="s">
        <v>1033</v>
      </c>
      <c r="D66" s="151">
        <v>2</v>
      </c>
      <c r="E66" s="151">
        <v>1</v>
      </c>
      <c r="F66" s="151">
        <v>5</v>
      </c>
      <c r="G66" s="151">
        <v>1</v>
      </c>
      <c r="H66" s="151">
        <v>2</v>
      </c>
      <c r="I66" s="155" t="str">
        <f t="shared" si="2"/>
        <v>2,1,5,1,2</v>
      </c>
      <c r="J66" s="156" t="str">
        <f t="shared" si="0"/>
        <v>Requirements not met</v>
      </c>
      <c r="K66" s="157" t="str">
        <f t="shared" si="1"/>
        <v>Not OK</v>
      </c>
    </row>
    <row r="67" spans="2:11" s="147" customFormat="1" ht="15" x14ac:dyDescent="0.25">
      <c r="B67" s="223" t="s">
        <v>552</v>
      </c>
      <c r="C67" s="248" t="s">
        <v>1033</v>
      </c>
      <c r="D67" s="151">
        <v>2</v>
      </c>
      <c r="E67" s="151">
        <v>1</v>
      </c>
      <c r="F67" s="151">
        <v>5</v>
      </c>
      <c r="G67" s="151">
        <v>1</v>
      </c>
      <c r="H67" s="151">
        <v>2</v>
      </c>
      <c r="I67" s="155" t="str">
        <f t="shared" si="2"/>
        <v>2,1,5,1,2</v>
      </c>
      <c r="J67" s="156" t="str">
        <f t="shared" si="0"/>
        <v>Requirements not met</v>
      </c>
      <c r="K67" s="157" t="str">
        <f t="shared" si="1"/>
        <v>Not OK</v>
      </c>
    </row>
    <row r="68" spans="2:11" s="147" customFormat="1" ht="15" x14ac:dyDescent="0.25">
      <c r="B68" s="223" t="s">
        <v>553</v>
      </c>
      <c r="C68" s="248" t="s">
        <v>1033</v>
      </c>
      <c r="D68" s="151">
        <v>2</v>
      </c>
      <c r="E68" s="151">
        <v>1</v>
      </c>
      <c r="F68" s="151">
        <v>5</v>
      </c>
      <c r="G68" s="151">
        <v>1</v>
      </c>
      <c r="H68" s="151">
        <v>2</v>
      </c>
      <c r="I68" s="155" t="str">
        <f t="shared" si="2"/>
        <v>2,1,5,1,2</v>
      </c>
      <c r="J68" s="156" t="str">
        <f t="shared" ref="J68:J121" si="3">IF(MAX(D68:H68)&gt;=5, "Requirements not met", "Requirements met")</f>
        <v>Requirements not met</v>
      </c>
      <c r="K68" s="157" t="str">
        <f t="shared" ref="K68:K121" si="4">IF(MAX(D68:H68)&gt;=5, "Not OK", "OK")</f>
        <v>Not OK</v>
      </c>
    </row>
    <row r="69" spans="2:11" s="147" customFormat="1" ht="15" x14ac:dyDescent="0.25">
      <c r="B69" s="223" t="s">
        <v>554</v>
      </c>
      <c r="C69" s="248" t="s">
        <v>1033</v>
      </c>
      <c r="D69" s="151">
        <v>2</v>
      </c>
      <c r="E69" s="151">
        <v>1</v>
      </c>
      <c r="F69" s="151">
        <v>5</v>
      </c>
      <c r="G69" s="151">
        <v>1</v>
      </c>
      <c r="H69" s="151">
        <v>2</v>
      </c>
      <c r="I69" s="155" t="str">
        <f t="shared" ref="I69:I121" si="5">IF(D69&lt;&gt;"",D69&amp;","&amp;E69&amp;","&amp;F69&amp;","&amp;G69&amp;","&amp;H69,"0,0,0,0,0")</f>
        <v>2,1,5,1,2</v>
      </c>
      <c r="J69" s="156" t="str">
        <f t="shared" si="3"/>
        <v>Requirements not met</v>
      </c>
      <c r="K69" s="157" t="str">
        <f t="shared" si="4"/>
        <v>Not OK</v>
      </c>
    </row>
    <row r="70" spans="2:11" s="147" customFormat="1" ht="15" x14ac:dyDescent="0.25">
      <c r="B70" s="223" t="s">
        <v>555</v>
      </c>
      <c r="C70" s="248" t="s">
        <v>1033</v>
      </c>
      <c r="D70" s="151">
        <v>2</v>
      </c>
      <c r="E70" s="151">
        <v>1</v>
      </c>
      <c r="F70" s="151">
        <v>5</v>
      </c>
      <c r="G70" s="151">
        <v>1</v>
      </c>
      <c r="H70" s="151">
        <v>2</v>
      </c>
      <c r="I70" s="155" t="str">
        <f t="shared" si="5"/>
        <v>2,1,5,1,2</v>
      </c>
      <c r="J70" s="156" t="str">
        <f t="shared" si="3"/>
        <v>Requirements not met</v>
      </c>
      <c r="K70" s="157" t="str">
        <f t="shared" si="4"/>
        <v>Not OK</v>
      </c>
    </row>
    <row r="71" spans="2:11" s="147" customFormat="1" ht="15" x14ac:dyDescent="0.25">
      <c r="B71" s="223" t="s">
        <v>556</v>
      </c>
      <c r="C71" s="248" t="s">
        <v>1033</v>
      </c>
      <c r="D71" s="151">
        <v>2</v>
      </c>
      <c r="E71" s="151">
        <v>1</v>
      </c>
      <c r="F71" s="151">
        <v>5</v>
      </c>
      <c r="G71" s="151">
        <v>1</v>
      </c>
      <c r="H71" s="151">
        <v>2</v>
      </c>
      <c r="I71" s="155" t="str">
        <f t="shared" si="5"/>
        <v>2,1,5,1,2</v>
      </c>
      <c r="J71" s="156" t="str">
        <f t="shared" si="3"/>
        <v>Requirements not met</v>
      </c>
      <c r="K71" s="157" t="str">
        <f t="shared" si="4"/>
        <v>Not OK</v>
      </c>
    </row>
    <row r="72" spans="2:11" s="147" customFormat="1" ht="15" x14ac:dyDescent="0.25">
      <c r="B72" s="223" t="s">
        <v>557</v>
      </c>
      <c r="C72" s="248" t="s">
        <v>1033</v>
      </c>
      <c r="D72" s="151">
        <v>2</v>
      </c>
      <c r="E72" s="151">
        <v>1</v>
      </c>
      <c r="F72" s="151">
        <v>5</v>
      </c>
      <c r="G72" s="151">
        <v>1</v>
      </c>
      <c r="H72" s="151">
        <v>2</v>
      </c>
      <c r="I72" s="155" t="str">
        <f t="shared" si="5"/>
        <v>2,1,5,1,2</v>
      </c>
      <c r="J72" s="156" t="str">
        <f t="shared" si="3"/>
        <v>Requirements not met</v>
      </c>
      <c r="K72" s="157" t="str">
        <f t="shared" si="4"/>
        <v>Not OK</v>
      </c>
    </row>
    <row r="73" spans="2:11" s="147" customFormat="1" ht="15" x14ac:dyDescent="0.25">
      <c r="B73" s="223" t="s">
        <v>558</v>
      </c>
      <c r="C73" s="248" t="s">
        <v>1033</v>
      </c>
      <c r="D73" s="151">
        <v>2</v>
      </c>
      <c r="E73" s="151">
        <v>1</v>
      </c>
      <c r="F73" s="151">
        <v>5</v>
      </c>
      <c r="G73" s="151">
        <v>1</v>
      </c>
      <c r="H73" s="151">
        <v>2</v>
      </c>
      <c r="I73" s="155" t="str">
        <f t="shared" si="5"/>
        <v>2,1,5,1,2</v>
      </c>
      <c r="J73" s="156" t="str">
        <f t="shared" si="3"/>
        <v>Requirements not met</v>
      </c>
      <c r="K73" s="157" t="str">
        <f t="shared" si="4"/>
        <v>Not OK</v>
      </c>
    </row>
    <row r="74" spans="2:11" s="147" customFormat="1" ht="15" x14ac:dyDescent="0.25">
      <c r="B74" s="223" t="s">
        <v>559</v>
      </c>
      <c r="C74" s="248" t="s">
        <v>1033</v>
      </c>
      <c r="D74" s="151">
        <v>2</v>
      </c>
      <c r="E74" s="151">
        <v>1</v>
      </c>
      <c r="F74" s="151">
        <v>5</v>
      </c>
      <c r="G74" s="151">
        <v>1</v>
      </c>
      <c r="H74" s="151">
        <v>2</v>
      </c>
      <c r="I74" s="155" t="str">
        <f t="shared" si="5"/>
        <v>2,1,5,1,2</v>
      </c>
      <c r="J74" s="156" t="str">
        <f t="shared" si="3"/>
        <v>Requirements not met</v>
      </c>
      <c r="K74" s="157" t="str">
        <f t="shared" si="4"/>
        <v>Not OK</v>
      </c>
    </row>
    <row r="75" spans="2:11" s="147" customFormat="1" ht="15" x14ac:dyDescent="0.25">
      <c r="B75" s="223" t="s">
        <v>560</v>
      </c>
      <c r="C75" s="248" t="s">
        <v>1033</v>
      </c>
      <c r="D75" s="151">
        <v>2</v>
      </c>
      <c r="E75" s="151">
        <v>1</v>
      </c>
      <c r="F75" s="151">
        <v>5</v>
      </c>
      <c r="G75" s="151">
        <v>1</v>
      </c>
      <c r="H75" s="151">
        <v>2</v>
      </c>
      <c r="I75" s="155" t="str">
        <f t="shared" si="5"/>
        <v>2,1,5,1,2</v>
      </c>
      <c r="J75" s="156" t="str">
        <f t="shared" si="3"/>
        <v>Requirements not met</v>
      </c>
      <c r="K75" s="157" t="str">
        <f t="shared" si="4"/>
        <v>Not OK</v>
      </c>
    </row>
    <row r="76" spans="2:11" s="147" customFormat="1" ht="15" x14ac:dyDescent="0.25">
      <c r="B76" s="223" t="s">
        <v>561</v>
      </c>
      <c r="C76" s="248" t="s">
        <v>1033</v>
      </c>
      <c r="D76" s="151">
        <v>2</v>
      </c>
      <c r="E76" s="151">
        <v>1</v>
      </c>
      <c r="F76" s="151">
        <v>5</v>
      </c>
      <c r="G76" s="151">
        <v>1</v>
      </c>
      <c r="H76" s="151">
        <v>2</v>
      </c>
      <c r="I76" s="155" t="str">
        <f t="shared" si="5"/>
        <v>2,1,5,1,2</v>
      </c>
      <c r="J76" s="156" t="str">
        <f t="shared" si="3"/>
        <v>Requirements not met</v>
      </c>
      <c r="K76" s="157" t="str">
        <f t="shared" si="4"/>
        <v>Not OK</v>
      </c>
    </row>
    <row r="77" spans="2:11" s="147" customFormat="1" ht="15" x14ac:dyDescent="0.25">
      <c r="B77" s="223" t="s">
        <v>562</v>
      </c>
      <c r="C77" s="248" t="s">
        <v>1033</v>
      </c>
      <c r="D77" s="151">
        <v>2</v>
      </c>
      <c r="E77" s="151">
        <v>1</v>
      </c>
      <c r="F77" s="151">
        <v>5</v>
      </c>
      <c r="G77" s="151">
        <v>1</v>
      </c>
      <c r="H77" s="151">
        <v>2</v>
      </c>
      <c r="I77" s="155" t="str">
        <f t="shared" si="5"/>
        <v>2,1,5,1,2</v>
      </c>
      <c r="J77" s="156" t="str">
        <f t="shared" si="3"/>
        <v>Requirements not met</v>
      </c>
      <c r="K77" s="157" t="str">
        <f t="shared" si="4"/>
        <v>Not OK</v>
      </c>
    </row>
    <row r="78" spans="2:11" s="147" customFormat="1" ht="15" x14ac:dyDescent="0.25">
      <c r="B78" s="223" t="s">
        <v>563</v>
      </c>
      <c r="C78" s="248" t="s">
        <v>1033</v>
      </c>
      <c r="D78" s="151">
        <v>2</v>
      </c>
      <c r="E78" s="151">
        <v>1</v>
      </c>
      <c r="F78" s="151">
        <v>5</v>
      </c>
      <c r="G78" s="151">
        <v>1</v>
      </c>
      <c r="H78" s="151">
        <v>2</v>
      </c>
      <c r="I78" s="155" t="str">
        <f t="shared" si="5"/>
        <v>2,1,5,1,2</v>
      </c>
      <c r="J78" s="156" t="str">
        <f t="shared" si="3"/>
        <v>Requirements not met</v>
      </c>
      <c r="K78" s="157" t="str">
        <f t="shared" si="4"/>
        <v>Not OK</v>
      </c>
    </row>
    <row r="79" spans="2:11" s="147" customFormat="1" ht="15" x14ac:dyDescent="0.25">
      <c r="B79" s="223" t="s">
        <v>564</v>
      </c>
      <c r="C79" s="248" t="s">
        <v>1033</v>
      </c>
      <c r="D79" s="151">
        <v>2</v>
      </c>
      <c r="E79" s="151">
        <v>1</v>
      </c>
      <c r="F79" s="151">
        <v>5</v>
      </c>
      <c r="G79" s="151">
        <v>1</v>
      </c>
      <c r="H79" s="151">
        <v>2</v>
      </c>
      <c r="I79" s="155" t="str">
        <f t="shared" si="5"/>
        <v>2,1,5,1,2</v>
      </c>
      <c r="J79" s="156" t="str">
        <f t="shared" si="3"/>
        <v>Requirements not met</v>
      </c>
      <c r="K79" s="157" t="str">
        <f t="shared" si="4"/>
        <v>Not OK</v>
      </c>
    </row>
    <row r="80" spans="2:11" s="147" customFormat="1" ht="15" x14ac:dyDescent="0.25">
      <c r="B80" s="223" t="s">
        <v>565</v>
      </c>
      <c r="C80" s="248" t="s">
        <v>1033</v>
      </c>
      <c r="D80" s="151">
        <v>2</v>
      </c>
      <c r="E80" s="151">
        <v>1</v>
      </c>
      <c r="F80" s="151">
        <v>5</v>
      </c>
      <c r="G80" s="151">
        <v>1</v>
      </c>
      <c r="H80" s="151">
        <v>2</v>
      </c>
      <c r="I80" s="155" t="str">
        <f t="shared" si="5"/>
        <v>2,1,5,1,2</v>
      </c>
      <c r="J80" s="156" t="str">
        <f t="shared" si="3"/>
        <v>Requirements not met</v>
      </c>
      <c r="K80" s="157" t="str">
        <f t="shared" si="4"/>
        <v>Not OK</v>
      </c>
    </row>
    <row r="81" spans="2:11" s="147" customFormat="1" ht="15" x14ac:dyDescent="0.25">
      <c r="B81" s="223" t="s">
        <v>566</v>
      </c>
      <c r="C81" s="248" t="s">
        <v>1033</v>
      </c>
      <c r="D81" s="151">
        <v>2</v>
      </c>
      <c r="E81" s="151">
        <v>1</v>
      </c>
      <c r="F81" s="151">
        <v>5</v>
      </c>
      <c r="G81" s="151">
        <v>1</v>
      </c>
      <c r="H81" s="151">
        <v>2</v>
      </c>
      <c r="I81" s="155" t="str">
        <f t="shared" si="5"/>
        <v>2,1,5,1,2</v>
      </c>
      <c r="J81" s="156" t="str">
        <f t="shared" si="3"/>
        <v>Requirements not met</v>
      </c>
      <c r="K81" s="157" t="str">
        <f t="shared" si="4"/>
        <v>Not OK</v>
      </c>
    </row>
    <row r="82" spans="2:11" s="147" customFormat="1" ht="15" x14ac:dyDescent="0.25">
      <c r="B82" s="223" t="s">
        <v>567</v>
      </c>
      <c r="C82" s="248" t="s">
        <v>1033</v>
      </c>
      <c r="D82" s="151">
        <v>2</v>
      </c>
      <c r="E82" s="151">
        <v>1</v>
      </c>
      <c r="F82" s="151">
        <v>5</v>
      </c>
      <c r="G82" s="151">
        <v>1</v>
      </c>
      <c r="H82" s="151">
        <v>2</v>
      </c>
      <c r="I82" s="155" t="str">
        <f t="shared" si="5"/>
        <v>2,1,5,1,2</v>
      </c>
      <c r="J82" s="156" t="str">
        <f t="shared" si="3"/>
        <v>Requirements not met</v>
      </c>
      <c r="K82" s="157" t="str">
        <f t="shared" si="4"/>
        <v>Not OK</v>
      </c>
    </row>
    <row r="83" spans="2:11" s="147" customFormat="1" ht="15" x14ac:dyDescent="0.25">
      <c r="B83" s="224" t="s">
        <v>568</v>
      </c>
      <c r="C83" s="248" t="s">
        <v>1033</v>
      </c>
      <c r="D83" s="151">
        <v>2</v>
      </c>
      <c r="E83" s="151">
        <v>1</v>
      </c>
      <c r="F83" s="151">
        <v>5</v>
      </c>
      <c r="G83" s="151">
        <v>1</v>
      </c>
      <c r="H83" s="151">
        <v>2</v>
      </c>
      <c r="I83" s="155" t="str">
        <f t="shared" si="5"/>
        <v>2,1,5,1,2</v>
      </c>
      <c r="J83" s="156" t="str">
        <f t="shared" si="3"/>
        <v>Requirements not met</v>
      </c>
      <c r="K83" s="157" t="str">
        <f t="shared" si="4"/>
        <v>Not OK</v>
      </c>
    </row>
    <row r="84" spans="2:11" s="147" customFormat="1" ht="15" x14ac:dyDescent="0.25">
      <c r="B84" s="223" t="s">
        <v>569</v>
      </c>
      <c r="C84" s="248" t="s">
        <v>1033</v>
      </c>
      <c r="D84" s="151">
        <v>2</v>
      </c>
      <c r="E84" s="151">
        <v>1</v>
      </c>
      <c r="F84" s="151">
        <v>5</v>
      </c>
      <c r="G84" s="151">
        <v>1</v>
      </c>
      <c r="H84" s="151">
        <v>2</v>
      </c>
      <c r="I84" s="155" t="str">
        <f t="shared" si="5"/>
        <v>2,1,5,1,2</v>
      </c>
      <c r="J84" s="156" t="str">
        <f t="shared" si="3"/>
        <v>Requirements not met</v>
      </c>
      <c r="K84" s="157" t="str">
        <f t="shared" si="4"/>
        <v>Not OK</v>
      </c>
    </row>
    <row r="85" spans="2:11" s="147" customFormat="1" ht="15" x14ac:dyDescent="0.25">
      <c r="B85" s="224" t="s">
        <v>570</v>
      </c>
      <c r="C85" s="248" t="s">
        <v>1033</v>
      </c>
      <c r="D85" s="151">
        <v>2</v>
      </c>
      <c r="E85" s="151">
        <v>1</v>
      </c>
      <c r="F85" s="151">
        <v>5</v>
      </c>
      <c r="G85" s="151">
        <v>1</v>
      </c>
      <c r="H85" s="151">
        <v>2</v>
      </c>
      <c r="I85" s="155" t="str">
        <f t="shared" si="5"/>
        <v>2,1,5,1,2</v>
      </c>
      <c r="J85" s="156" t="str">
        <f t="shared" si="3"/>
        <v>Requirements not met</v>
      </c>
      <c r="K85" s="157" t="str">
        <f t="shared" si="4"/>
        <v>Not OK</v>
      </c>
    </row>
    <row r="86" spans="2:11" s="147" customFormat="1" ht="15" x14ac:dyDescent="0.25">
      <c r="B86" s="223" t="s">
        <v>571</v>
      </c>
      <c r="C86" s="248" t="s">
        <v>1033</v>
      </c>
      <c r="D86" s="151">
        <v>2</v>
      </c>
      <c r="E86" s="151">
        <v>1</v>
      </c>
      <c r="F86" s="151">
        <v>5</v>
      </c>
      <c r="G86" s="151">
        <v>1</v>
      </c>
      <c r="H86" s="151">
        <v>2</v>
      </c>
      <c r="I86" s="155" t="str">
        <f t="shared" si="5"/>
        <v>2,1,5,1,2</v>
      </c>
      <c r="J86" s="156" t="str">
        <f t="shared" si="3"/>
        <v>Requirements not met</v>
      </c>
      <c r="K86" s="157" t="str">
        <f t="shared" si="4"/>
        <v>Not OK</v>
      </c>
    </row>
    <row r="87" spans="2:11" s="147" customFormat="1" ht="15" x14ac:dyDescent="0.25">
      <c r="B87" s="223" t="s">
        <v>572</v>
      </c>
      <c r="C87" s="248" t="s">
        <v>1033</v>
      </c>
      <c r="D87" s="151">
        <v>2</v>
      </c>
      <c r="E87" s="151">
        <v>1</v>
      </c>
      <c r="F87" s="151">
        <v>5</v>
      </c>
      <c r="G87" s="151">
        <v>1</v>
      </c>
      <c r="H87" s="151">
        <v>2</v>
      </c>
      <c r="I87" s="155" t="str">
        <f t="shared" si="5"/>
        <v>2,1,5,1,2</v>
      </c>
      <c r="J87" s="156" t="str">
        <f t="shared" si="3"/>
        <v>Requirements not met</v>
      </c>
      <c r="K87" s="157" t="str">
        <f t="shared" si="4"/>
        <v>Not OK</v>
      </c>
    </row>
    <row r="88" spans="2:11" s="147" customFormat="1" ht="15" x14ac:dyDescent="0.25">
      <c r="B88" s="223" t="s">
        <v>573</v>
      </c>
      <c r="C88" s="248" t="s">
        <v>1033</v>
      </c>
      <c r="D88" s="151">
        <v>2</v>
      </c>
      <c r="E88" s="151">
        <v>1</v>
      </c>
      <c r="F88" s="151">
        <v>5</v>
      </c>
      <c r="G88" s="151">
        <v>1</v>
      </c>
      <c r="H88" s="151">
        <v>2</v>
      </c>
      <c r="I88" s="155" t="str">
        <f t="shared" si="5"/>
        <v>2,1,5,1,2</v>
      </c>
      <c r="J88" s="156" t="str">
        <f t="shared" si="3"/>
        <v>Requirements not met</v>
      </c>
      <c r="K88" s="157" t="str">
        <f t="shared" si="4"/>
        <v>Not OK</v>
      </c>
    </row>
    <row r="89" spans="2:11" s="147" customFormat="1" ht="15" x14ac:dyDescent="0.25">
      <c r="B89" s="223" t="s">
        <v>574</v>
      </c>
      <c r="C89" s="248" t="s">
        <v>1033</v>
      </c>
      <c r="D89" s="151">
        <v>2</v>
      </c>
      <c r="E89" s="151">
        <v>1</v>
      </c>
      <c r="F89" s="151">
        <v>5</v>
      </c>
      <c r="G89" s="151">
        <v>1</v>
      </c>
      <c r="H89" s="151">
        <v>2</v>
      </c>
      <c r="I89" s="155" t="str">
        <f t="shared" si="5"/>
        <v>2,1,5,1,2</v>
      </c>
      <c r="J89" s="156" t="str">
        <f t="shared" si="3"/>
        <v>Requirements not met</v>
      </c>
      <c r="K89" s="157" t="str">
        <f t="shared" si="4"/>
        <v>Not OK</v>
      </c>
    </row>
    <row r="90" spans="2:11" s="147" customFormat="1" ht="15" x14ac:dyDescent="0.25">
      <c r="B90" s="223" t="s">
        <v>575</v>
      </c>
      <c r="C90" s="248" t="s">
        <v>1033</v>
      </c>
      <c r="D90" s="151">
        <v>2</v>
      </c>
      <c r="E90" s="151">
        <v>1</v>
      </c>
      <c r="F90" s="151">
        <v>5</v>
      </c>
      <c r="G90" s="151">
        <v>1</v>
      </c>
      <c r="H90" s="151">
        <v>2</v>
      </c>
      <c r="I90" s="155" t="str">
        <f t="shared" si="5"/>
        <v>2,1,5,1,2</v>
      </c>
      <c r="J90" s="156" t="str">
        <f t="shared" si="3"/>
        <v>Requirements not met</v>
      </c>
      <c r="K90" s="157" t="str">
        <f t="shared" si="4"/>
        <v>Not OK</v>
      </c>
    </row>
    <row r="91" spans="2:11" s="147" customFormat="1" ht="15" x14ac:dyDescent="0.25">
      <c r="B91" s="223" t="s">
        <v>576</v>
      </c>
      <c r="C91" s="248" t="s">
        <v>1033</v>
      </c>
      <c r="D91" s="151">
        <v>2</v>
      </c>
      <c r="E91" s="151">
        <v>1</v>
      </c>
      <c r="F91" s="151">
        <v>5</v>
      </c>
      <c r="G91" s="151">
        <v>1</v>
      </c>
      <c r="H91" s="151">
        <v>2</v>
      </c>
      <c r="I91" s="155" t="str">
        <f t="shared" si="5"/>
        <v>2,1,5,1,2</v>
      </c>
      <c r="J91" s="156" t="str">
        <f t="shared" si="3"/>
        <v>Requirements not met</v>
      </c>
      <c r="K91" s="157" t="str">
        <f t="shared" si="4"/>
        <v>Not OK</v>
      </c>
    </row>
    <row r="92" spans="2:11" s="147" customFormat="1" ht="15" x14ac:dyDescent="0.25">
      <c r="B92" s="223" t="s">
        <v>577</v>
      </c>
      <c r="C92" s="248" t="s">
        <v>1033</v>
      </c>
      <c r="D92" s="151">
        <v>2</v>
      </c>
      <c r="E92" s="151">
        <v>1</v>
      </c>
      <c r="F92" s="151">
        <v>5</v>
      </c>
      <c r="G92" s="151">
        <v>1</v>
      </c>
      <c r="H92" s="151">
        <v>2</v>
      </c>
      <c r="I92" s="155" t="str">
        <f t="shared" si="5"/>
        <v>2,1,5,1,2</v>
      </c>
      <c r="J92" s="156" t="str">
        <f t="shared" si="3"/>
        <v>Requirements not met</v>
      </c>
      <c r="K92" s="157" t="str">
        <f t="shared" si="4"/>
        <v>Not OK</v>
      </c>
    </row>
    <row r="93" spans="2:11" s="147" customFormat="1" ht="15" x14ac:dyDescent="0.25">
      <c r="B93" s="223" t="s">
        <v>578</v>
      </c>
      <c r="C93" s="248" t="s">
        <v>1033</v>
      </c>
      <c r="D93" s="151">
        <v>2</v>
      </c>
      <c r="E93" s="151">
        <v>1</v>
      </c>
      <c r="F93" s="151">
        <v>5</v>
      </c>
      <c r="G93" s="151">
        <v>1</v>
      </c>
      <c r="H93" s="151">
        <v>2</v>
      </c>
      <c r="I93" s="155" t="str">
        <f t="shared" si="5"/>
        <v>2,1,5,1,2</v>
      </c>
      <c r="J93" s="156" t="str">
        <f t="shared" si="3"/>
        <v>Requirements not met</v>
      </c>
      <c r="K93" s="157" t="str">
        <f t="shared" si="4"/>
        <v>Not OK</v>
      </c>
    </row>
    <row r="94" spans="2:11" s="147" customFormat="1" ht="15" x14ac:dyDescent="0.25">
      <c r="B94" s="223" t="s">
        <v>579</v>
      </c>
      <c r="C94" s="248" t="s">
        <v>1033</v>
      </c>
      <c r="D94" s="151">
        <v>2</v>
      </c>
      <c r="E94" s="151">
        <v>1</v>
      </c>
      <c r="F94" s="151">
        <v>5</v>
      </c>
      <c r="G94" s="151">
        <v>1</v>
      </c>
      <c r="H94" s="151">
        <v>2</v>
      </c>
      <c r="I94" s="155" t="str">
        <f t="shared" si="5"/>
        <v>2,1,5,1,2</v>
      </c>
      <c r="J94" s="156" t="str">
        <f t="shared" si="3"/>
        <v>Requirements not met</v>
      </c>
      <c r="K94" s="157" t="str">
        <f t="shared" si="4"/>
        <v>Not OK</v>
      </c>
    </row>
    <row r="95" spans="2:11" s="147" customFormat="1" ht="15" x14ac:dyDescent="0.25">
      <c r="B95" s="223" t="s">
        <v>580</v>
      </c>
      <c r="C95" s="248" t="s">
        <v>1033</v>
      </c>
      <c r="D95" s="151">
        <v>2</v>
      </c>
      <c r="E95" s="151">
        <v>1</v>
      </c>
      <c r="F95" s="151">
        <v>5</v>
      </c>
      <c r="G95" s="151">
        <v>1</v>
      </c>
      <c r="H95" s="151">
        <v>2</v>
      </c>
      <c r="I95" s="155" t="str">
        <f t="shared" si="5"/>
        <v>2,1,5,1,2</v>
      </c>
      <c r="J95" s="156" t="str">
        <f t="shared" si="3"/>
        <v>Requirements not met</v>
      </c>
      <c r="K95" s="157" t="str">
        <f t="shared" si="4"/>
        <v>Not OK</v>
      </c>
    </row>
    <row r="96" spans="2:11" s="147" customFormat="1" ht="15" x14ac:dyDescent="0.25">
      <c r="B96" s="223" t="s">
        <v>581</v>
      </c>
      <c r="C96" s="248" t="s">
        <v>1033</v>
      </c>
      <c r="D96" s="151">
        <v>2</v>
      </c>
      <c r="E96" s="151">
        <v>1</v>
      </c>
      <c r="F96" s="151">
        <v>5</v>
      </c>
      <c r="G96" s="151">
        <v>1</v>
      </c>
      <c r="H96" s="151">
        <v>2</v>
      </c>
      <c r="I96" s="155" t="str">
        <f t="shared" si="5"/>
        <v>2,1,5,1,2</v>
      </c>
      <c r="J96" s="156" t="str">
        <f t="shared" si="3"/>
        <v>Requirements not met</v>
      </c>
      <c r="K96" s="157" t="str">
        <f t="shared" si="4"/>
        <v>Not OK</v>
      </c>
    </row>
    <row r="97" spans="2:11" s="147" customFormat="1" ht="15" x14ac:dyDescent="0.25">
      <c r="B97" s="223" t="s">
        <v>582</v>
      </c>
      <c r="C97" s="248" t="s">
        <v>1033</v>
      </c>
      <c r="D97" s="151">
        <v>2</v>
      </c>
      <c r="E97" s="151">
        <v>1</v>
      </c>
      <c r="F97" s="151">
        <v>5</v>
      </c>
      <c r="G97" s="151">
        <v>1</v>
      </c>
      <c r="H97" s="151">
        <v>2</v>
      </c>
      <c r="I97" s="155" t="str">
        <f t="shared" si="5"/>
        <v>2,1,5,1,2</v>
      </c>
      <c r="J97" s="156" t="str">
        <f t="shared" si="3"/>
        <v>Requirements not met</v>
      </c>
      <c r="K97" s="157" t="str">
        <f t="shared" si="4"/>
        <v>Not OK</v>
      </c>
    </row>
    <row r="98" spans="2:11" s="147" customFormat="1" ht="15" x14ac:dyDescent="0.25">
      <c r="B98" s="223" t="s">
        <v>583</v>
      </c>
      <c r="C98" s="248" t="s">
        <v>1033</v>
      </c>
      <c r="D98" s="151">
        <v>2</v>
      </c>
      <c r="E98" s="151">
        <v>1</v>
      </c>
      <c r="F98" s="151">
        <v>5</v>
      </c>
      <c r="G98" s="151">
        <v>1</v>
      </c>
      <c r="H98" s="151">
        <v>2</v>
      </c>
      <c r="I98" s="155" t="str">
        <f t="shared" si="5"/>
        <v>2,1,5,1,2</v>
      </c>
      <c r="J98" s="156" t="str">
        <f t="shared" si="3"/>
        <v>Requirements not met</v>
      </c>
      <c r="K98" s="157" t="str">
        <f t="shared" si="4"/>
        <v>Not OK</v>
      </c>
    </row>
    <row r="99" spans="2:11" s="147" customFormat="1" ht="15" x14ac:dyDescent="0.25">
      <c r="B99" s="223" t="s">
        <v>584</v>
      </c>
      <c r="C99" s="248" t="s">
        <v>1033</v>
      </c>
      <c r="D99" s="151">
        <v>2</v>
      </c>
      <c r="E99" s="151">
        <v>1</v>
      </c>
      <c r="F99" s="151">
        <v>5</v>
      </c>
      <c r="G99" s="151">
        <v>1</v>
      </c>
      <c r="H99" s="151">
        <v>2</v>
      </c>
      <c r="I99" s="155" t="str">
        <f t="shared" si="5"/>
        <v>2,1,5,1,2</v>
      </c>
      <c r="J99" s="156" t="str">
        <f t="shared" si="3"/>
        <v>Requirements not met</v>
      </c>
      <c r="K99" s="157" t="str">
        <f t="shared" si="4"/>
        <v>Not OK</v>
      </c>
    </row>
    <row r="100" spans="2:11" s="147" customFormat="1" ht="15" x14ac:dyDescent="0.25">
      <c r="B100" s="223" t="s">
        <v>585</v>
      </c>
      <c r="C100" s="248" t="s">
        <v>1033</v>
      </c>
      <c r="D100" s="151">
        <v>2</v>
      </c>
      <c r="E100" s="151">
        <v>1</v>
      </c>
      <c r="F100" s="151">
        <v>5</v>
      </c>
      <c r="G100" s="151">
        <v>1</v>
      </c>
      <c r="H100" s="151">
        <v>2</v>
      </c>
      <c r="I100" s="155" t="str">
        <f t="shared" si="5"/>
        <v>2,1,5,1,2</v>
      </c>
      <c r="J100" s="156" t="str">
        <f t="shared" si="3"/>
        <v>Requirements not met</v>
      </c>
      <c r="K100" s="157" t="str">
        <f t="shared" si="4"/>
        <v>Not OK</v>
      </c>
    </row>
    <row r="101" spans="2:11" s="147" customFormat="1" ht="15" x14ac:dyDescent="0.25">
      <c r="B101" s="223" t="s">
        <v>586</v>
      </c>
      <c r="C101" s="248" t="s">
        <v>1033</v>
      </c>
      <c r="D101" s="151">
        <v>2</v>
      </c>
      <c r="E101" s="151">
        <v>1</v>
      </c>
      <c r="F101" s="151">
        <v>5</v>
      </c>
      <c r="G101" s="151">
        <v>1</v>
      </c>
      <c r="H101" s="151">
        <v>2</v>
      </c>
      <c r="I101" s="155" t="str">
        <f t="shared" si="5"/>
        <v>2,1,5,1,2</v>
      </c>
      <c r="J101" s="156" t="str">
        <f t="shared" si="3"/>
        <v>Requirements not met</v>
      </c>
      <c r="K101" s="157" t="str">
        <f t="shared" si="4"/>
        <v>Not OK</v>
      </c>
    </row>
    <row r="102" spans="2:11" s="147" customFormat="1" ht="15" x14ac:dyDescent="0.25">
      <c r="B102" s="223" t="s">
        <v>587</v>
      </c>
      <c r="C102" s="248" t="s">
        <v>1033</v>
      </c>
      <c r="D102" s="151">
        <v>2</v>
      </c>
      <c r="E102" s="151">
        <v>1</v>
      </c>
      <c r="F102" s="151">
        <v>5</v>
      </c>
      <c r="G102" s="151">
        <v>1</v>
      </c>
      <c r="H102" s="151">
        <v>2</v>
      </c>
      <c r="I102" s="155" t="str">
        <f t="shared" si="5"/>
        <v>2,1,5,1,2</v>
      </c>
      <c r="J102" s="156" t="str">
        <f t="shared" si="3"/>
        <v>Requirements not met</v>
      </c>
      <c r="K102" s="157" t="str">
        <f t="shared" si="4"/>
        <v>Not OK</v>
      </c>
    </row>
    <row r="103" spans="2:11" s="147" customFormat="1" ht="15" x14ac:dyDescent="0.25">
      <c r="B103" s="223" t="s">
        <v>588</v>
      </c>
      <c r="C103" s="248" t="s">
        <v>1033</v>
      </c>
      <c r="D103" s="151">
        <v>2</v>
      </c>
      <c r="E103" s="151">
        <v>1</v>
      </c>
      <c r="F103" s="151">
        <v>5</v>
      </c>
      <c r="G103" s="151">
        <v>1</v>
      </c>
      <c r="H103" s="151">
        <v>2</v>
      </c>
      <c r="I103" s="155" t="str">
        <f t="shared" si="5"/>
        <v>2,1,5,1,2</v>
      </c>
      <c r="J103" s="156" t="str">
        <f t="shared" si="3"/>
        <v>Requirements not met</v>
      </c>
      <c r="K103" s="157" t="str">
        <f t="shared" si="4"/>
        <v>Not OK</v>
      </c>
    </row>
    <row r="104" spans="2:11" s="147" customFormat="1" ht="15" x14ac:dyDescent="0.25">
      <c r="B104" s="223" t="s">
        <v>589</v>
      </c>
      <c r="C104" s="248" t="s">
        <v>1033</v>
      </c>
      <c r="D104" s="151">
        <v>2</v>
      </c>
      <c r="E104" s="151">
        <v>1</v>
      </c>
      <c r="F104" s="151">
        <v>5</v>
      </c>
      <c r="G104" s="151">
        <v>1</v>
      </c>
      <c r="H104" s="151">
        <v>2</v>
      </c>
      <c r="I104" s="155" t="str">
        <f t="shared" si="5"/>
        <v>2,1,5,1,2</v>
      </c>
      <c r="J104" s="156" t="str">
        <f t="shared" si="3"/>
        <v>Requirements not met</v>
      </c>
      <c r="K104" s="157" t="str">
        <f t="shared" si="4"/>
        <v>Not OK</v>
      </c>
    </row>
    <row r="105" spans="2:11" s="147" customFormat="1" ht="15" x14ac:dyDescent="0.25">
      <c r="B105" s="224" t="s">
        <v>590</v>
      </c>
      <c r="C105" s="248" t="s">
        <v>1033</v>
      </c>
      <c r="D105" s="151">
        <v>2</v>
      </c>
      <c r="E105" s="151">
        <v>1</v>
      </c>
      <c r="F105" s="151">
        <v>5</v>
      </c>
      <c r="G105" s="151">
        <v>1</v>
      </c>
      <c r="H105" s="151">
        <v>2</v>
      </c>
      <c r="I105" s="155" t="str">
        <f t="shared" si="5"/>
        <v>2,1,5,1,2</v>
      </c>
      <c r="J105" s="156" t="str">
        <f t="shared" si="3"/>
        <v>Requirements not met</v>
      </c>
      <c r="K105" s="157" t="str">
        <f t="shared" si="4"/>
        <v>Not OK</v>
      </c>
    </row>
    <row r="106" spans="2:11" s="147" customFormat="1" ht="15" x14ac:dyDescent="0.25">
      <c r="B106" s="223" t="s">
        <v>591</v>
      </c>
      <c r="C106" s="248" t="s">
        <v>1033</v>
      </c>
      <c r="D106" s="151">
        <v>2</v>
      </c>
      <c r="E106" s="151">
        <v>1</v>
      </c>
      <c r="F106" s="151">
        <v>5</v>
      </c>
      <c r="G106" s="151">
        <v>1</v>
      </c>
      <c r="H106" s="151">
        <v>2</v>
      </c>
      <c r="I106" s="155" t="str">
        <f t="shared" si="5"/>
        <v>2,1,5,1,2</v>
      </c>
      <c r="J106" s="156" t="str">
        <f t="shared" si="3"/>
        <v>Requirements not met</v>
      </c>
      <c r="K106" s="157" t="str">
        <f t="shared" si="4"/>
        <v>Not OK</v>
      </c>
    </row>
    <row r="107" spans="2:11" s="147" customFormat="1" ht="15" x14ac:dyDescent="0.25">
      <c r="B107" s="223" t="s">
        <v>592</v>
      </c>
      <c r="C107" s="248" t="s">
        <v>1033</v>
      </c>
      <c r="D107" s="151">
        <v>2</v>
      </c>
      <c r="E107" s="151">
        <v>1</v>
      </c>
      <c r="F107" s="151">
        <v>5</v>
      </c>
      <c r="G107" s="151">
        <v>1</v>
      </c>
      <c r="H107" s="151">
        <v>2</v>
      </c>
      <c r="I107" s="155" t="str">
        <f t="shared" si="5"/>
        <v>2,1,5,1,2</v>
      </c>
      <c r="J107" s="156" t="str">
        <f t="shared" si="3"/>
        <v>Requirements not met</v>
      </c>
      <c r="K107" s="157" t="str">
        <f t="shared" si="4"/>
        <v>Not OK</v>
      </c>
    </row>
    <row r="108" spans="2:11" s="147" customFormat="1" ht="15" x14ac:dyDescent="0.25">
      <c r="B108" s="223" t="s">
        <v>593</v>
      </c>
      <c r="C108" s="248" t="s">
        <v>1033</v>
      </c>
      <c r="D108" s="151">
        <v>2</v>
      </c>
      <c r="E108" s="151">
        <v>1</v>
      </c>
      <c r="F108" s="151">
        <v>5</v>
      </c>
      <c r="G108" s="151">
        <v>1</v>
      </c>
      <c r="H108" s="151">
        <v>2</v>
      </c>
      <c r="I108" s="155" t="str">
        <f t="shared" si="5"/>
        <v>2,1,5,1,2</v>
      </c>
      <c r="J108" s="156" t="str">
        <f t="shared" si="3"/>
        <v>Requirements not met</v>
      </c>
      <c r="K108" s="157" t="str">
        <f t="shared" si="4"/>
        <v>Not OK</v>
      </c>
    </row>
    <row r="109" spans="2:11" s="147" customFormat="1" ht="15" x14ac:dyDescent="0.25">
      <c r="B109" s="223" t="s">
        <v>594</v>
      </c>
      <c r="C109" s="248" t="s">
        <v>1033</v>
      </c>
      <c r="D109" s="151">
        <v>2</v>
      </c>
      <c r="E109" s="151">
        <v>1</v>
      </c>
      <c r="F109" s="151">
        <v>5</v>
      </c>
      <c r="G109" s="151">
        <v>1</v>
      </c>
      <c r="H109" s="151">
        <v>2</v>
      </c>
      <c r="I109" s="155" t="str">
        <f t="shared" si="5"/>
        <v>2,1,5,1,2</v>
      </c>
      <c r="J109" s="156" t="str">
        <f t="shared" si="3"/>
        <v>Requirements not met</v>
      </c>
      <c r="K109" s="157" t="str">
        <f t="shared" si="4"/>
        <v>Not OK</v>
      </c>
    </row>
    <row r="110" spans="2:11" s="147" customFormat="1" ht="15" x14ac:dyDescent="0.25">
      <c r="B110" s="223" t="s">
        <v>595</v>
      </c>
      <c r="C110" s="248" t="s">
        <v>1033</v>
      </c>
      <c r="D110" s="151">
        <v>2</v>
      </c>
      <c r="E110" s="151">
        <v>1</v>
      </c>
      <c r="F110" s="151">
        <v>5</v>
      </c>
      <c r="G110" s="151">
        <v>1</v>
      </c>
      <c r="H110" s="151">
        <v>2</v>
      </c>
      <c r="I110" s="155" t="str">
        <f t="shared" si="5"/>
        <v>2,1,5,1,2</v>
      </c>
      <c r="J110" s="156" t="str">
        <f t="shared" si="3"/>
        <v>Requirements not met</v>
      </c>
      <c r="K110" s="157" t="str">
        <f t="shared" si="4"/>
        <v>Not OK</v>
      </c>
    </row>
    <row r="111" spans="2:11" s="147" customFormat="1" ht="15" x14ac:dyDescent="0.25">
      <c r="B111" s="223" t="s">
        <v>596</v>
      </c>
      <c r="C111" s="248" t="s">
        <v>1033</v>
      </c>
      <c r="D111" s="151">
        <v>2</v>
      </c>
      <c r="E111" s="151">
        <v>1</v>
      </c>
      <c r="F111" s="151">
        <v>5</v>
      </c>
      <c r="G111" s="151">
        <v>1</v>
      </c>
      <c r="H111" s="151">
        <v>2</v>
      </c>
      <c r="I111" s="155" t="str">
        <f t="shared" si="5"/>
        <v>2,1,5,1,2</v>
      </c>
      <c r="J111" s="156" t="str">
        <f t="shared" si="3"/>
        <v>Requirements not met</v>
      </c>
      <c r="K111" s="157" t="str">
        <f t="shared" si="4"/>
        <v>Not OK</v>
      </c>
    </row>
    <row r="112" spans="2:11" s="147" customFormat="1" ht="15" x14ac:dyDescent="0.25">
      <c r="B112" s="223" t="s">
        <v>597</v>
      </c>
      <c r="C112" s="248" t="s">
        <v>1033</v>
      </c>
      <c r="D112" s="151">
        <v>2</v>
      </c>
      <c r="E112" s="151">
        <v>1</v>
      </c>
      <c r="F112" s="151">
        <v>5</v>
      </c>
      <c r="G112" s="151">
        <v>1</v>
      </c>
      <c r="H112" s="151">
        <v>2</v>
      </c>
      <c r="I112" s="155" t="str">
        <f t="shared" si="5"/>
        <v>2,1,5,1,2</v>
      </c>
      <c r="J112" s="156" t="str">
        <f t="shared" si="3"/>
        <v>Requirements not met</v>
      </c>
      <c r="K112" s="157" t="str">
        <f t="shared" si="4"/>
        <v>Not OK</v>
      </c>
    </row>
    <row r="113" spans="1:39" s="147" customFormat="1" ht="15" x14ac:dyDescent="0.25">
      <c r="B113" s="223" t="s">
        <v>598</v>
      </c>
      <c r="C113" s="248" t="s">
        <v>1033</v>
      </c>
      <c r="D113" s="151">
        <v>2</v>
      </c>
      <c r="E113" s="151">
        <v>1</v>
      </c>
      <c r="F113" s="151">
        <v>5</v>
      </c>
      <c r="G113" s="151">
        <v>1</v>
      </c>
      <c r="H113" s="151">
        <v>2</v>
      </c>
      <c r="I113" s="155" t="str">
        <f t="shared" si="5"/>
        <v>2,1,5,1,2</v>
      </c>
      <c r="J113" s="156" t="str">
        <f t="shared" si="3"/>
        <v>Requirements not met</v>
      </c>
      <c r="K113" s="157" t="str">
        <f t="shared" si="4"/>
        <v>Not OK</v>
      </c>
    </row>
    <row r="114" spans="1:39" s="147" customFormat="1" ht="15" x14ac:dyDescent="0.25">
      <c r="B114" s="223" t="s">
        <v>599</v>
      </c>
      <c r="C114" s="248" t="s">
        <v>1033</v>
      </c>
      <c r="D114" s="151">
        <v>2</v>
      </c>
      <c r="E114" s="151">
        <v>1</v>
      </c>
      <c r="F114" s="151">
        <v>5</v>
      </c>
      <c r="G114" s="151">
        <v>1</v>
      </c>
      <c r="H114" s="151">
        <v>2</v>
      </c>
      <c r="I114" s="155" t="str">
        <f t="shared" si="5"/>
        <v>2,1,5,1,2</v>
      </c>
      <c r="J114" s="156" t="str">
        <f t="shared" si="3"/>
        <v>Requirements not met</v>
      </c>
      <c r="K114" s="157" t="str">
        <f t="shared" si="4"/>
        <v>Not OK</v>
      </c>
    </row>
    <row r="115" spans="1:39" s="147" customFormat="1" ht="15" x14ac:dyDescent="0.25">
      <c r="B115" s="223" t="s">
        <v>600</v>
      </c>
      <c r="C115" s="248" t="s">
        <v>1033</v>
      </c>
      <c r="D115" s="151">
        <v>2</v>
      </c>
      <c r="E115" s="151">
        <v>1</v>
      </c>
      <c r="F115" s="151">
        <v>5</v>
      </c>
      <c r="G115" s="151">
        <v>1</v>
      </c>
      <c r="H115" s="151">
        <v>2</v>
      </c>
      <c r="I115" s="155" t="str">
        <f t="shared" si="5"/>
        <v>2,1,5,1,2</v>
      </c>
      <c r="J115" s="156" t="str">
        <f t="shared" si="3"/>
        <v>Requirements not met</v>
      </c>
      <c r="K115" s="157" t="str">
        <f t="shared" si="4"/>
        <v>Not OK</v>
      </c>
    </row>
    <row r="116" spans="1:39" s="147" customFormat="1" ht="15" x14ac:dyDescent="0.25">
      <c r="B116" s="223" t="s">
        <v>601</v>
      </c>
      <c r="C116" s="248" t="s">
        <v>1033</v>
      </c>
      <c r="D116" s="151">
        <v>2</v>
      </c>
      <c r="E116" s="151">
        <v>1</v>
      </c>
      <c r="F116" s="151">
        <v>5</v>
      </c>
      <c r="G116" s="151">
        <v>1</v>
      </c>
      <c r="H116" s="151">
        <v>2</v>
      </c>
      <c r="I116" s="155" t="str">
        <f t="shared" si="5"/>
        <v>2,1,5,1,2</v>
      </c>
      <c r="J116" s="156" t="str">
        <f t="shared" si="3"/>
        <v>Requirements not met</v>
      </c>
      <c r="K116" s="157" t="str">
        <f t="shared" si="4"/>
        <v>Not OK</v>
      </c>
    </row>
    <row r="117" spans="1:39" s="147" customFormat="1" ht="15" x14ac:dyDescent="0.25">
      <c r="B117" s="223" t="s">
        <v>602</v>
      </c>
      <c r="C117" s="248" t="s">
        <v>1033</v>
      </c>
      <c r="D117" s="151">
        <v>2</v>
      </c>
      <c r="E117" s="151">
        <v>1</v>
      </c>
      <c r="F117" s="151">
        <v>5</v>
      </c>
      <c r="G117" s="151">
        <v>1</v>
      </c>
      <c r="H117" s="151">
        <v>2</v>
      </c>
      <c r="I117" s="155" t="str">
        <f t="shared" si="5"/>
        <v>2,1,5,1,2</v>
      </c>
      <c r="J117" s="156" t="str">
        <f t="shared" si="3"/>
        <v>Requirements not met</v>
      </c>
      <c r="K117" s="157" t="str">
        <f t="shared" si="4"/>
        <v>Not OK</v>
      </c>
    </row>
    <row r="118" spans="1:39" s="147" customFormat="1" ht="15" x14ac:dyDescent="0.25">
      <c r="B118" s="223" t="s">
        <v>603</v>
      </c>
      <c r="C118" s="248" t="s">
        <v>1033</v>
      </c>
      <c r="D118" s="151">
        <v>2</v>
      </c>
      <c r="E118" s="151">
        <v>1</v>
      </c>
      <c r="F118" s="151">
        <v>5</v>
      </c>
      <c r="G118" s="151">
        <v>1</v>
      </c>
      <c r="H118" s="151">
        <v>2</v>
      </c>
      <c r="I118" s="155" t="str">
        <f t="shared" si="5"/>
        <v>2,1,5,1,2</v>
      </c>
      <c r="J118" s="156" t="str">
        <f t="shared" si="3"/>
        <v>Requirements not met</v>
      </c>
      <c r="K118" s="157" t="str">
        <f t="shared" si="4"/>
        <v>Not OK</v>
      </c>
    </row>
    <row r="119" spans="1:39" s="147" customFormat="1" ht="15" x14ac:dyDescent="0.25">
      <c r="B119" s="224" t="s">
        <v>604</v>
      </c>
      <c r="C119" s="248" t="s">
        <v>1033</v>
      </c>
      <c r="D119" s="151">
        <v>2</v>
      </c>
      <c r="E119" s="151">
        <v>1</v>
      </c>
      <c r="F119" s="151">
        <v>5</v>
      </c>
      <c r="G119" s="151">
        <v>1</v>
      </c>
      <c r="H119" s="151">
        <v>2</v>
      </c>
      <c r="I119" s="155" t="str">
        <f t="shared" si="5"/>
        <v>2,1,5,1,2</v>
      </c>
      <c r="J119" s="156" t="str">
        <f t="shared" si="3"/>
        <v>Requirements not met</v>
      </c>
      <c r="K119" s="157" t="str">
        <f t="shared" si="4"/>
        <v>Not OK</v>
      </c>
    </row>
    <row r="120" spans="1:39" s="147" customFormat="1" ht="15" x14ac:dyDescent="0.25">
      <c r="B120" s="224" t="s">
        <v>605</v>
      </c>
      <c r="C120" s="248" t="s">
        <v>1033</v>
      </c>
      <c r="D120" s="151">
        <v>2</v>
      </c>
      <c r="E120" s="151">
        <v>1</v>
      </c>
      <c r="F120" s="151">
        <v>5</v>
      </c>
      <c r="G120" s="151">
        <v>1</v>
      </c>
      <c r="H120" s="151">
        <v>2</v>
      </c>
      <c r="I120" s="155" t="str">
        <f t="shared" si="5"/>
        <v>2,1,5,1,2</v>
      </c>
      <c r="J120" s="156" t="str">
        <f t="shared" si="3"/>
        <v>Requirements not met</v>
      </c>
      <c r="K120" s="157" t="str">
        <f t="shared" si="4"/>
        <v>Not OK</v>
      </c>
    </row>
    <row r="121" spans="1:39" s="147" customFormat="1" ht="15" x14ac:dyDescent="0.25">
      <c r="B121" s="224" t="s">
        <v>606</v>
      </c>
      <c r="C121" s="248" t="s">
        <v>1033</v>
      </c>
      <c r="D121" s="151">
        <v>2</v>
      </c>
      <c r="E121" s="151">
        <v>1</v>
      </c>
      <c r="F121" s="151">
        <v>5</v>
      </c>
      <c r="G121" s="151">
        <v>1</v>
      </c>
      <c r="H121" s="151">
        <v>2</v>
      </c>
      <c r="I121" s="155" t="str">
        <f t="shared" si="5"/>
        <v>2,1,5,1,2</v>
      </c>
      <c r="J121" s="156" t="str">
        <f t="shared" si="3"/>
        <v>Requirements not met</v>
      </c>
      <c r="K121" s="157" t="str">
        <f t="shared" si="4"/>
        <v>Not OK</v>
      </c>
    </row>
    <row r="122" spans="1:39" s="147" customFormat="1" x14ac:dyDescent="0.2">
      <c r="B122" s="60"/>
      <c r="C122" s="158"/>
      <c r="D122" s="153"/>
      <c r="E122" s="153"/>
      <c r="F122" s="153"/>
      <c r="G122" s="153"/>
      <c r="H122" s="154"/>
      <c r="I122" s="155"/>
      <c r="J122" s="156"/>
      <c r="K122" s="157"/>
    </row>
    <row r="123" spans="1:39" s="147" customFormat="1" ht="12.75" customHeight="1" x14ac:dyDescent="0.2">
      <c r="B123" s="159" t="s">
        <v>72</v>
      </c>
      <c r="C123" s="160"/>
      <c r="D123" s="160"/>
      <c r="E123" s="160"/>
      <c r="F123" s="160"/>
      <c r="G123" s="160"/>
      <c r="H123" s="160"/>
      <c r="I123" s="161" t="str">
        <f>MAX(D4:D65)&amp;","&amp;MAX(E4:E65)&amp;","&amp;MAX(F4:F65)&amp;","&amp;MAX(G4:G65)&amp;","&amp;MAX(H4:H65)</f>
        <v>2,1,5,2,2</v>
      </c>
      <c r="J123" s="363"/>
      <c r="K123" s="363"/>
    </row>
    <row r="124" spans="1:39" ht="20.25" x14ac:dyDescent="0.3">
      <c r="B124" s="11"/>
      <c r="C124" s="11"/>
      <c r="D124" s="11"/>
      <c r="E124" s="11"/>
      <c r="F124" s="11"/>
      <c r="G124" s="11"/>
      <c r="H124" s="11"/>
      <c r="I124" s="76"/>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row>
    <row r="125" spans="1:39" ht="20.25" x14ac:dyDescent="0.3">
      <c r="A125" s="148" t="s">
        <v>161</v>
      </c>
      <c r="C125" s="11"/>
      <c r="D125" s="11"/>
      <c r="E125" s="11"/>
      <c r="F125" s="11"/>
      <c r="G125" s="11"/>
      <c r="H125" s="76"/>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row>
    <row r="126" spans="1:39" s="163" customFormat="1" ht="13.5" thickBot="1" x14ac:dyDescent="0.25">
      <c r="A126" s="162" t="s">
        <v>162</v>
      </c>
    </row>
    <row r="127" spans="1:39" ht="17.25" customHeight="1" thickBot="1" x14ac:dyDescent="0.25">
      <c r="B127" s="364" t="s">
        <v>163</v>
      </c>
      <c r="C127" s="366" t="s">
        <v>164</v>
      </c>
      <c r="D127" s="367"/>
      <c r="E127" s="367"/>
      <c r="F127" s="367"/>
      <c r="G127" s="368"/>
    </row>
    <row r="128" spans="1:39" ht="13.5" thickBot="1" x14ac:dyDescent="0.25">
      <c r="B128" s="365"/>
      <c r="C128" s="164">
        <v>1</v>
      </c>
      <c r="D128" s="164">
        <v>2</v>
      </c>
      <c r="E128" s="164">
        <v>3</v>
      </c>
      <c r="F128" s="164">
        <v>4</v>
      </c>
      <c r="G128" s="164">
        <v>5</v>
      </c>
    </row>
    <row r="129" spans="1:18" ht="72.75" thickBot="1" x14ac:dyDescent="0.25">
      <c r="B129" s="369" t="s">
        <v>165</v>
      </c>
      <c r="C129" s="165" t="s">
        <v>166</v>
      </c>
      <c r="D129" s="165" t="s">
        <v>167</v>
      </c>
      <c r="E129" s="165" t="s">
        <v>168</v>
      </c>
      <c r="F129" s="165" t="s">
        <v>169</v>
      </c>
      <c r="G129" s="165" t="s">
        <v>170</v>
      </c>
    </row>
    <row r="130" spans="1:18" ht="24" customHeight="1" thickBot="1" x14ac:dyDescent="0.25">
      <c r="B130" s="370"/>
      <c r="C130" s="372" t="s">
        <v>171</v>
      </c>
      <c r="D130" s="373"/>
      <c r="E130" s="372" t="s">
        <v>172</v>
      </c>
      <c r="F130" s="374"/>
      <c r="G130" s="373"/>
    </row>
    <row r="131" spans="1:18" ht="36.75" thickBot="1" x14ac:dyDescent="0.25">
      <c r="B131" s="371"/>
      <c r="C131" s="166" t="s">
        <v>173</v>
      </c>
      <c r="D131" s="375" t="s">
        <v>174</v>
      </c>
      <c r="E131" s="376"/>
      <c r="F131" s="377" t="s">
        <v>175</v>
      </c>
      <c r="G131" s="378"/>
    </row>
    <row r="132" spans="1:18" ht="60.75" thickBot="1" x14ac:dyDescent="0.25">
      <c r="B132" s="167" t="s">
        <v>84</v>
      </c>
      <c r="C132" s="165" t="s">
        <v>176</v>
      </c>
      <c r="D132" s="165" t="s">
        <v>177</v>
      </c>
      <c r="E132" s="165" t="s">
        <v>178</v>
      </c>
      <c r="F132" s="165" t="s">
        <v>179</v>
      </c>
      <c r="G132" s="165" t="s">
        <v>180</v>
      </c>
    </row>
    <row r="133" spans="1:18" ht="44.25" customHeight="1" thickBot="1" x14ac:dyDescent="0.25">
      <c r="B133" s="167" t="s">
        <v>156</v>
      </c>
      <c r="C133" s="165" t="s">
        <v>181</v>
      </c>
      <c r="D133" s="165" t="s">
        <v>182</v>
      </c>
      <c r="E133" s="165" t="s">
        <v>183</v>
      </c>
      <c r="F133" s="165" t="s">
        <v>184</v>
      </c>
      <c r="G133" s="165" t="s">
        <v>185</v>
      </c>
    </row>
    <row r="134" spans="1:18" ht="44.25" customHeight="1" thickBot="1" x14ac:dyDescent="0.25">
      <c r="B134" s="167" t="s">
        <v>157</v>
      </c>
      <c r="C134" s="165" t="s">
        <v>186</v>
      </c>
      <c r="D134" s="165" t="s">
        <v>187</v>
      </c>
      <c r="E134" s="165" t="s">
        <v>188</v>
      </c>
      <c r="F134" s="165" t="s">
        <v>189</v>
      </c>
      <c r="G134" s="165" t="s">
        <v>190</v>
      </c>
    </row>
    <row r="135" spans="1:18" ht="44.25" customHeight="1" thickBot="1" x14ac:dyDescent="0.25">
      <c r="B135" s="167" t="s">
        <v>191</v>
      </c>
      <c r="C135" s="165" t="s">
        <v>192</v>
      </c>
      <c r="D135" s="372" t="s">
        <v>193</v>
      </c>
      <c r="E135" s="373"/>
      <c r="F135" s="165" t="s">
        <v>194</v>
      </c>
      <c r="G135" s="165" t="s">
        <v>195</v>
      </c>
    </row>
    <row r="136" spans="1:18" x14ac:dyDescent="0.2">
      <c r="B136" s="168"/>
      <c r="C136" s="169"/>
      <c r="D136" s="169"/>
      <c r="E136" s="169"/>
      <c r="F136" s="169"/>
      <c r="G136" s="169"/>
    </row>
    <row r="137" spans="1:18" customFormat="1" ht="15" x14ac:dyDescent="0.25">
      <c r="A137" s="170" t="s">
        <v>196</v>
      </c>
      <c r="C137" s="171"/>
      <c r="D137" s="171"/>
      <c r="E137" s="171"/>
      <c r="F137" s="171"/>
      <c r="G137" s="171"/>
      <c r="H137" s="171"/>
      <c r="I137" s="171"/>
      <c r="J137" s="171"/>
      <c r="K137" s="171"/>
      <c r="L137" s="171"/>
      <c r="M137" s="171"/>
      <c r="N137" s="171"/>
      <c r="O137" s="171"/>
      <c r="P137" s="171"/>
      <c r="Q137" s="171"/>
      <c r="R137" s="171"/>
    </row>
    <row r="138" spans="1:18" customFormat="1" ht="15" x14ac:dyDescent="0.25">
      <c r="B138" s="172" t="s">
        <v>197</v>
      </c>
      <c r="C138" s="173"/>
      <c r="D138" s="173"/>
      <c r="E138" s="173"/>
      <c r="F138" s="173"/>
      <c r="G138" s="173"/>
      <c r="H138" s="174"/>
      <c r="I138" s="171"/>
      <c r="J138" s="171"/>
      <c r="K138" s="171"/>
      <c r="L138" s="171"/>
      <c r="M138" s="171"/>
      <c r="N138" s="171"/>
      <c r="O138" s="171"/>
      <c r="P138" s="171"/>
      <c r="Q138" s="171"/>
      <c r="R138" s="171"/>
    </row>
    <row r="139" spans="1:18" customFormat="1" ht="65.25" customHeight="1" x14ac:dyDescent="0.25">
      <c r="B139" s="175"/>
      <c r="C139" s="344" t="s">
        <v>198</v>
      </c>
      <c r="D139" s="345"/>
      <c r="E139" s="345"/>
      <c r="F139" s="345"/>
      <c r="G139" s="345"/>
      <c r="H139" s="346"/>
      <c r="N139" s="176"/>
      <c r="O139" s="176"/>
      <c r="P139" s="176"/>
      <c r="Q139" s="176"/>
      <c r="R139" s="176"/>
    </row>
    <row r="140" spans="1:18" customFormat="1" ht="15" x14ac:dyDescent="0.25">
      <c r="B140" s="175"/>
      <c r="C140" s="177" t="s">
        <v>199</v>
      </c>
      <c r="D140" s="178"/>
      <c r="E140" s="178"/>
      <c r="F140" s="178"/>
      <c r="G140" s="178"/>
      <c r="H140" s="179"/>
      <c r="I140" s="171"/>
      <c r="J140" s="171"/>
      <c r="K140" s="171"/>
      <c r="L140" s="171"/>
      <c r="M140" s="171"/>
      <c r="N140" s="171"/>
      <c r="O140" s="171"/>
      <c r="P140" s="171"/>
      <c r="Q140" s="171"/>
      <c r="R140" s="171"/>
    </row>
    <row r="141" spans="1:18" customFormat="1" ht="15" x14ac:dyDescent="0.25">
      <c r="B141" s="175"/>
      <c r="C141" s="180" t="s">
        <v>200</v>
      </c>
      <c r="D141" s="181"/>
      <c r="E141" s="181"/>
      <c r="F141" s="181"/>
      <c r="G141" s="181"/>
      <c r="H141" s="182"/>
      <c r="I141" s="171"/>
      <c r="J141" s="171"/>
      <c r="K141" s="171"/>
      <c r="L141" s="171"/>
      <c r="M141" s="171"/>
      <c r="N141" s="171"/>
      <c r="O141" s="171"/>
      <c r="P141" s="171"/>
      <c r="Q141" s="171"/>
      <c r="R141" s="171"/>
    </row>
    <row r="142" spans="1:18" customFormat="1" ht="15" x14ac:dyDescent="0.25">
      <c r="B142" s="175"/>
      <c r="C142" s="180" t="s">
        <v>201</v>
      </c>
      <c r="D142" s="181"/>
      <c r="E142" s="181"/>
      <c r="F142" s="181"/>
      <c r="G142" s="181"/>
      <c r="H142" s="182"/>
      <c r="I142" s="171"/>
      <c r="J142" s="171"/>
      <c r="K142" s="171"/>
      <c r="L142" s="171"/>
      <c r="M142" s="171"/>
      <c r="N142" s="171"/>
      <c r="O142" s="171"/>
      <c r="P142" s="171"/>
      <c r="Q142" s="171"/>
      <c r="R142" s="171"/>
    </row>
    <row r="143" spans="1:18" customFormat="1" ht="15" x14ac:dyDescent="0.25">
      <c r="B143" s="175"/>
      <c r="C143" s="180" t="s">
        <v>202</v>
      </c>
      <c r="D143" s="181"/>
      <c r="E143" s="181"/>
      <c r="F143" s="181"/>
      <c r="G143" s="181"/>
      <c r="H143" s="182"/>
      <c r="I143" s="171"/>
      <c r="J143" s="171"/>
      <c r="K143" s="171"/>
      <c r="L143" s="171"/>
      <c r="M143" s="171"/>
      <c r="N143" s="171"/>
      <c r="O143" s="171"/>
      <c r="P143" s="171"/>
      <c r="Q143" s="171"/>
      <c r="R143" s="171"/>
    </row>
    <row r="144" spans="1:18" customFormat="1" ht="15" x14ac:dyDescent="0.25">
      <c r="B144" s="175"/>
      <c r="C144" s="180" t="s">
        <v>203</v>
      </c>
      <c r="D144" s="181"/>
      <c r="E144" s="181"/>
      <c r="F144" s="181"/>
      <c r="G144" s="181"/>
      <c r="H144" s="182"/>
      <c r="I144" s="171"/>
      <c r="J144" s="171"/>
      <c r="K144" s="171"/>
      <c r="L144" s="171"/>
      <c r="M144" s="171"/>
      <c r="N144" s="171"/>
      <c r="O144" s="171"/>
      <c r="P144" s="171"/>
      <c r="Q144" s="171"/>
      <c r="R144" s="171"/>
    </row>
    <row r="145" spans="1:18" customFormat="1" ht="41.25" customHeight="1" x14ac:dyDescent="0.25">
      <c r="B145" s="175"/>
      <c r="C145" s="360" t="s">
        <v>204</v>
      </c>
      <c r="D145" s="361"/>
      <c r="E145" s="361"/>
      <c r="F145" s="361"/>
      <c r="G145" s="361"/>
      <c r="H145" s="362"/>
      <c r="N145" s="183"/>
      <c r="O145" s="183"/>
      <c r="P145" s="183"/>
      <c r="Q145" s="171"/>
      <c r="R145" s="171"/>
    </row>
    <row r="146" spans="1:18" customFormat="1" ht="38.25" customHeight="1" x14ac:dyDescent="0.25">
      <c r="B146" s="184"/>
      <c r="C146" s="344" t="s">
        <v>205</v>
      </c>
      <c r="D146" s="345"/>
      <c r="E146" s="345"/>
      <c r="F146" s="345"/>
      <c r="G146" s="345"/>
      <c r="H146" s="346"/>
      <c r="N146" s="176"/>
      <c r="O146" s="176"/>
      <c r="P146" s="176"/>
      <c r="Q146" s="176"/>
      <c r="R146" s="171"/>
    </row>
    <row r="147" spans="1:18" customFormat="1" ht="43.5" customHeight="1" x14ac:dyDescent="0.25">
      <c r="B147" s="344" t="s">
        <v>206</v>
      </c>
      <c r="C147" s="345"/>
      <c r="D147" s="345"/>
      <c r="E147" s="345"/>
      <c r="F147" s="345"/>
      <c r="G147" s="345"/>
      <c r="H147" s="346"/>
      <c r="I147" s="171"/>
      <c r="J147" s="171"/>
      <c r="K147" s="171"/>
      <c r="L147" s="171"/>
      <c r="M147" s="171"/>
      <c r="N147" s="171"/>
      <c r="O147" s="171"/>
      <c r="P147" s="171"/>
      <c r="Q147" s="171"/>
      <c r="R147" s="171"/>
    </row>
    <row r="148" spans="1:18" customFormat="1" ht="49.5" customHeight="1" x14ac:dyDescent="0.25">
      <c r="B148" s="344" t="s">
        <v>207</v>
      </c>
      <c r="C148" s="345"/>
      <c r="D148" s="345"/>
      <c r="E148" s="345"/>
      <c r="F148" s="345"/>
      <c r="G148" s="345"/>
      <c r="H148" s="346"/>
      <c r="I148" s="185"/>
    </row>
    <row r="149" spans="1:18" customFormat="1" ht="46.5" customHeight="1" x14ac:dyDescent="0.25">
      <c r="B149" s="344" t="s">
        <v>208</v>
      </c>
      <c r="C149" s="345"/>
      <c r="D149" s="345"/>
      <c r="E149" s="345"/>
      <c r="F149" s="345"/>
      <c r="G149" s="345"/>
      <c r="H149" s="346"/>
      <c r="I149" s="185"/>
    </row>
    <row r="150" spans="1:18" customFormat="1" ht="30" customHeight="1" x14ac:dyDescent="0.25">
      <c r="B150" s="344" t="s">
        <v>209</v>
      </c>
      <c r="C150" s="345"/>
      <c r="D150" s="345"/>
      <c r="E150" s="345"/>
      <c r="F150" s="345"/>
      <c r="G150" s="345"/>
      <c r="H150" s="346"/>
      <c r="I150" s="185"/>
    </row>
    <row r="151" spans="1:18" customFormat="1" ht="15" customHeight="1" x14ac:dyDescent="0.25">
      <c r="A151" s="186" t="s">
        <v>210</v>
      </c>
      <c r="B151" s="186"/>
      <c r="I151" s="187"/>
    </row>
    <row r="152" spans="1:18" customFormat="1" ht="30" customHeight="1" x14ac:dyDescent="0.25">
      <c r="B152" s="347" t="s">
        <v>211</v>
      </c>
      <c r="C152" s="348"/>
      <c r="D152" s="348"/>
      <c r="E152" s="348"/>
      <c r="F152" s="348"/>
      <c r="G152" s="348"/>
      <c r="H152" s="349"/>
    </row>
    <row r="153" spans="1:18" customFormat="1" ht="12.75" customHeight="1" x14ac:dyDescent="0.25">
      <c r="B153" s="350" t="s">
        <v>212</v>
      </c>
      <c r="C153" s="351"/>
      <c r="D153" s="351"/>
      <c r="E153" s="351"/>
      <c r="F153" s="351"/>
      <c r="G153" s="188"/>
      <c r="H153" s="189"/>
    </row>
    <row r="154" spans="1:18" customFormat="1" ht="29.25" customHeight="1" x14ac:dyDescent="0.25">
      <c r="B154" s="352" t="s">
        <v>213</v>
      </c>
      <c r="C154" s="353"/>
      <c r="D154" s="353"/>
      <c r="E154" s="353"/>
      <c r="F154" s="353"/>
      <c r="G154" s="353"/>
      <c r="H154" s="354"/>
    </row>
    <row r="155" spans="1:18" customFormat="1" ht="15" customHeight="1" x14ac:dyDescent="0.25">
      <c r="B155" s="190" t="s">
        <v>214</v>
      </c>
      <c r="C155" s="188"/>
      <c r="D155" s="188"/>
      <c r="E155" s="188"/>
      <c r="F155" s="188"/>
      <c r="G155" s="188"/>
      <c r="H155" s="189"/>
    </row>
    <row r="156" spans="1:18" customFormat="1" ht="30.75" customHeight="1" x14ac:dyDescent="0.25">
      <c r="B156" s="352" t="s">
        <v>215</v>
      </c>
      <c r="C156" s="353"/>
      <c r="D156" s="353"/>
      <c r="E156" s="353"/>
      <c r="F156" s="353"/>
      <c r="G156" s="353"/>
      <c r="H156" s="354"/>
    </row>
    <row r="157" spans="1:18" customFormat="1" ht="12.75" customHeight="1" x14ac:dyDescent="0.25">
      <c r="B157" s="355" t="s">
        <v>216</v>
      </c>
      <c r="C157" s="356"/>
      <c r="D157" s="356"/>
      <c r="E157" s="356"/>
      <c r="F157" s="356"/>
      <c r="G157" s="356"/>
      <c r="H157" s="189"/>
    </row>
    <row r="158" spans="1:18" customFormat="1" ht="35.25" customHeight="1" x14ac:dyDescent="0.25">
      <c r="B158" s="352" t="s">
        <v>217</v>
      </c>
      <c r="C158" s="353"/>
      <c r="D158" s="353"/>
      <c r="E158" s="353"/>
      <c r="F158" s="353"/>
      <c r="G158" s="353"/>
      <c r="H158" s="354"/>
    </row>
    <row r="159" spans="1:18" customFormat="1" ht="24.75" customHeight="1" x14ac:dyDescent="0.25">
      <c r="B159" s="357" t="s">
        <v>218</v>
      </c>
      <c r="C159" s="358"/>
      <c r="D159" s="358"/>
      <c r="E159" s="358"/>
      <c r="F159" s="358"/>
      <c r="G159" s="358"/>
      <c r="H159" s="359"/>
    </row>
    <row r="160" spans="1:18" customFormat="1" ht="27.75" customHeight="1" x14ac:dyDescent="0.25">
      <c r="B160" s="360" t="s">
        <v>219</v>
      </c>
      <c r="C160" s="361"/>
      <c r="D160" s="361"/>
      <c r="E160" s="361"/>
      <c r="F160" s="361"/>
      <c r="G160" s="361"/>
      <c r="H160" s="362"/>
    </row>
    <row r="161" spans="2:8" customFormat="1" ht="21" customHeight="1" x14ac:dyDescent="0.25">
      <c r="B161" s="344" t="s">
        <v>220</v>
      </c>
      <c r="C161" s="345"/>
      <c r="D161" s="345"/>
      <c r="E161" s="345"/>
      <c r="F161" s="345"/>
      <c r="G161" s="345"/>
      <c r="H161" s="346"/>
    </row>
    <row r="162" spans="2:8" customFormat="1" ht="26.25" customHeight="1" x14ac:dyDescent="0.25">
      <c r="B162" s="343" t="s">
        <v>221</v>
      </c>
      <c r="C162" s="343"/>
      <c r="D162" s="343"/>
      <c r="E162" s="343"/>
      <c r="F162" s="343"/>
      <c r="G162" s="343"/>
      <c r="H162" s="343"/>
    </row>
  </sheetData>
  <mergeCells count="27">
    <mergeCell ref="B148:H148"/>
    <mergeCell ref="A1:K1"/>
    <mergeCell ref="J123:K123"/>
    <mergeCell ref="B127:B128"/>
    <mergeCell ref="C127:G127"/>
    <mergeCell ref="B129:B131"/>
    <mergeCell ref="C130:D130"/>
    <mergeCell ref="E130:G130"/>
    <mergeCell ref="D131:E131"/>
    <mergeCell ref="F131:G131"/>
    <mergeCell ref="D135:E135"/>
    <mergeCell ref="C139:H139"/>
    <mergeCell ref="C145:H145"/>
    <mergeCell ref="C146:H146"/>
    <mergeCell ref="B147:H147"/>
    <mergeCell ref="B162:H162"/>
    <mergeCell ref="B149:H149"/>
    <mergeCell ref="B150:H150"/>
    <mergeCell ref="B152:H152"/>
    <mergeCell ref="B153:F153"/>
    <mergeCell ref="B154:H154"/>
    <mergeCell ref="B156:H156"/>
    <mergeCell ref="B157:G157"/>
    <mergeCell ref="B158:H158"/>
    <mergeCell ref="B159:H159"/>
    <mergeCell ref="B160:H160"/>
    <mergeCell ref="B161:H161"/>
  </mergeCells>
  <conditionalFormatting sqref="J4:K121">
    <cfRule type="expression" dxfId="2" priority="5">
      <formula>MAX(D4:H4)&gt;=5</formula>
    </cfRule>
  </conditionalFormatting>
  <conditionalFormatting sqref="J122:K122">
    <cfRule type="expression" dxfId="1" priority="2">
      <formula>MAX(D122:H122)&gt;=5</formula>
    </cfRule>
  </conditionalFormatting>
  <conditionalFormatting sqref="I123">
    <cfRule type="expression" dxfId="0" priority="1">
      <formula>MAX($D$122:$H$122)&gt;=5</formula>
    </cfRule>
  </conditionalFormatting>
  <pageMargins left="0.7" right="0.7" top="0.75" bottom="0.75" header="0.3" footer="0.3"/>
  <pageSetup paperSize="3" orientation="landscape" r:id="rId1"/>
  <headerFooter>
    <oddFooter>Page &amp;P&amp;R&amp;F</oddFooter>
  </headerFooter>
  <rowBreaks count="1" manualBreakCount="1">
    <brk id="13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I10"/>
  <sheetViews>
    <sheetView zoomScaleNormal="100" workbookViewId="0">
      <selection activeCell="B24" sqref="B24"/>
    </sheetView>
  </sheetViews>
  <sheetFormatPr defaultRowHeight="15" x14ac:dyDescent="0.25"/>
  <cols>
    <col min="1" max="1" width="25.85546875" style="206" customWidth="1"/>
    <col min="2" max="2" width="105.42578125" style="206" customWidth="1"/>
    <col min="3" max="3" width="14.42578125" style="206" bestFit="1" customWidth="1"/>
    <col min="4" max="4" width="22.85546875" style="206" customWidth="1"/>
    <col min="5" max="6" width="11" style="206" customWidth="1"/>
    <col min="7" max="8" width="9.140625" style="206" customWidth="1"/>
    <col min="9" max="9" width="19" style="205"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11" customFormat="1" ht="20.25" x14ac:dyDescent="0.3">
      <c r="H1" s="76" t="s">
        <v>19</v>
      </c>
      <c r="I1" s="191"/>
    </row>
    <row r="2" spans="1:9" s="197" customFormat="1" ht="18" customHeight="1" x14ac:dyDescent="0.25">
      <c r="A2" s="192" t="s">
        <v>19</v>
      </c>
      <c r="B2" s="193" t="s">
        <v>222</v>
      </c>
      <c r="C2" s="194"/>
      <c r="D2" s="195"/>
      <c r="E2" s="195"/>
      <c r="F2" s="195"/>
      <c r="G2" s="195"/>
      <c r="H2" s="195"/>
      <c r="I2" s="196" t="s">
        <v>63</v>
      </c>
    </row>
    <row r="3" spans="1:9" s="197" customFormat="1" x14ac:dyDescent="0.2">
      <c r="A3" s="198"/>
      <c r="C3" s="199"/>
      <c r="I3" s="200"/>
    </row>
    <row r="4" spans="1:9" s="197" customFormat="1" ht="12.75" x14ac:dyDescent="0.2">
      <c r="A4" s="201" t="s">
        <v>223</v>
      </c>
      <c r="B4" s="201" t="s">
        <v>59</v>
      </c>
      <c r="C4" s="201" t="s">
        <v>71</v>
      </c>
      <c r="D4" s="201" t="s">
        <v>224</v>
      </c>
      <c r="E4" s="202" t="s">
        <v>22</v>
      </c>
      <c r="F4" s="203"/>
      <c r="G4" s="203"/>
      <c r="H4" s="203"/>
      <c r="I4" s="204"/>
    </row>
    <row r="5" spans="1:9" x14ac:dyDescent="0.25">
      <c r="A5" t="s">
        <v>315</v>
      </c>
      <c r="B5" t="s">
        <v>475</v>
      </c>
      <c r="C5" t="s">
        <v>476</v>
      </c>
      <c r="D5"/>
      <c r="E5" t="s">
        <v>477</v>
      </c>
      <c r="F5"/>
      <c r="G5"/>
      <c r="H5"/>
    </row>
    <row r="6" spans="1:9" x14ac:dyDescent="0.25">
      <c r="A6" s="206" t="s">
        <v>316</v>
      </c>
      <c r="B6" s="206" t="s">
        <v>478</v>
      </c>
      <c r="C6" s="206" t="s">
        <v>476</v>
      </c>
    </row>
    <row r="7" spans="1:9" x14ac:dyDescent="0.25">
      <c r="A7" s="206" t="s">
        <v>317</v>
      </c>
      <c r="B7" s="206" t="s">
        <v>479</v>
      </c>
      <c r="C7" s="206" t="s">
        <v>476</v>
      </c>
      <c r="E7" s="206" t="s">
        <v>480</v>
      </c>
    </row>
    <row r="8" spans="1:9" x14ac:dyDescent="0.25">
      <c r="E8" s="206" t="s">
        <v>481</v>
      </c>
    </row>
    <row r="9" spans="1:9" ht="39" x14ac:dyDescent="0.25">
      <c r="A9" s="206" t="s">
        <v>860</v>
      </c>
      <c r="B9" s="260" t="s">
        <v>861</v>
      </c>
      <c r="C9" s="206" t="s">
        <v>862</v>
      </c>
    </row>
    <row r="10" spans="1:9" x14ac:dyDescent="0.25">
      <c r="A10" s="206" t="s">
        <v>482</v>
      </c>
      <c r="B10" s="206" t="s">
        <v>483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L37"/>
  <sheetViews>
    <sheetView workbookViewId="0">
      <selection activeCell="D11" sqref="D11"/>
    </sheetView>
  </sheetViews>
  <sheetFormatPr defaultColWidth="9.140625" defaultRowHeight="12.75" x14ac:dyDescent="0.2"/>
  <cols>
    <col min="1" max="3" width="9.140625" style="206"/>
    <col min="4" max="4" width="13.42578125" style="206" bestFit="1" customWidth="1"/>
    <col min="5" max="5" width="16.42578125" style="206" bestFit="1" customWidth="1"/>
    <col min="6" max="6" width="23.42578125" style="206" customWidth="1"/>
    <col min="7" max="7" width="11" style="206" bestFit="1" customWidth="1"/>
    <col min="8" max="259" width="9.140625" style="206"/>
    <col min="260" max="260" width="13.42578125" style="206" bestFit="1" customWidth="1"/>
    <col min="261" max="261" width="16.42578125" style="206" bestFit="1" customWidth="1"/>
    <col min="262" max="262" width="23.42578125" style="206" customWidth="1"/>
    <col min="263" max="263" width="11" style="206" bestFit="1" customWidth="1"/>
    <col min="264" max="515" width="9.140625" style="206"/>
    <col min="516" max="516" width="13.42578125" style="206" bestFit="1" customWidth="1"/>
    <col min="517" max="517" width="16.42578125" style="206" bestFit="1" customWidth="1"/>
    <col min="518" max="518" width="23.42578125" style="206" customWidth="1"/>
    <col min="519" max="519" width="11" style="206" bestFit="1" customWidth="1"/>
    <col min="520" max="771" width="9.140625" style="206"/>
    <col min="772" max="772" width="13.42578125" style="206" bestFit="1" customWidth="1"/>
    <col min="773" max="773" width="16.42578125" style="206" bestFit="1" customWidth="1"/>
    <col min="774" max="774" width="23.42578125" style="206" customWidth="1"/>
    <col min="775" max="775" width="11" style="206" bestFit="1" customWidth="1"/>
    <col min="776" max="1027" width="9.140625" style="206"/>
    <col min="1028" max="1028" width="13.42578125" style="206" bestFit="1" customWidth="1"/>
    <col min="1029" max="1029" width="16.42578125" style="206" bestFit="1" customWidth="1"/>
    <col min="1030" max="1030" width="23.42578125" style="206" customWidth="1"/>
    <col min="1031" max="1031" width="11" style="206" bestFit="1" customWidth="1"/>
    <col min="1032" max="1283" width="9.140625" style="206"/>
    <col min="1284" max="1284" width="13.42578125" style="206" bestFit="1" customWidth="1"/>
    <col min="1285" max="1285" width="16.42578125" style="206" bestFit="1" customWidth="1"/>
    <col min="1286" max="1286" width="23.42578125" style="206" customWidth="1"/>
    <col min="1287" max="1287" width="11" style="206" bestFit="1" customWidth="1"/>
    <col min="1288" max="1539" width="9.140625" style="206"/>
    <col min="1540" max="1540" width="13.42578125" style="206" bestFit="1" customWidth="1"/>
    <col min="1541" max="1541" width="16.42578125" style="206" bestFit="1" customWidth="1"/>
    <col min="1542" max="1542" width="23.42578125" style="206" customWidth="1"/>
    <col min="1543" max="1543" width="11" style="206" bestFit="1" customWidth="1"/>
    <col min="1544" max="1795" width="9.140625" style="206"/>
    <col min="1796" max="1796" width="13.42578125" style="206" bestFit="1" customWidth="1"/>
    <col min="1797" max="1797" width="16.42578125" style="206" bestFit="1" customWidth="1"/>
    <col min="1798" max="1798" width="23.42578125" style="206" customWidth="1"/>
    <col min="1799" max="1799" width="11" style="206" bestFit="1" customWidth="1"/>
    <col min="1800" max="2051" width="9.140625" style="206"/>
    <col min="2052" max="2052" width="13.42578125" style="206" bestFit="1" customWidth="1"/>
    <col min="2053" max="2053" width="16.42578125" style="206" bestFit="1" customWidth="1"/>
    <col min="2054" max="2054" width="23.42578125" style="206" customWidth="1"/>
    <col min="2055" max="2055" width="11" style="206" bestFit="1" customWidth="1"/>
    <col min="2056" max="2307" width="9.140625" style="206"/>
    <col min="2308" max="2308" width="13.42578125" style="206" bestFit="1" customWidth="1"/>
    <col min="2309" max="2309" width="16.42578125" style="206" bestFit="1" customWidth="1"/>
    <col min="2310" max="2310" width="23.42578125" style="206" customWidth="1"/>
    <col min="2311" max="2311" width="11" style="206" bestFit="1" customWidth="1"/>
    <col min="2312" max="2563" width="9.140625" style="206"/>
    <col min="2564" max="2564" width="13.42578125" style="206" bestFit="1" customWidth="1"/>
    <col min="2565" max="2565" width="16.42578125" style="206" bestFit="1" customWidth="1"/>
    <col min="2566" max="2566" width="23.42578125" style="206" customWidth="1"/>
    <col min="2567" max="2567" width="11" style="206" bestFit="1" customWidth="1"/>
    <col min="2568" max="2819" width="9.140625" style="206"/>
    <col min="2820" max="2820" width="13.42578125" style="206" bestFit="1" customWidth="1"/>
    <col min="2821" max="2821" width="16.42578125" style="206" bestFit="1" customWidth="1"/>
    <col min="2822" max="2822" width="23.42578125" style="206" customWidth="1"/>
    <col min="2823" max="2823" width="11" style="206" bestFit="1" customWidth="1"/>
    <col min="2824" max="3075" width="9.140625" style="206"/>
    <col min="3076" max="3076" width="13.42578125" style="206" bestFit="1" customWidth="1"/>
    <col min="3077" max="3077" width="16.42578125" style="206" bestFit="1" customWidth="1"/>
    <col min="3078" max="3078" width="23.42578125" style="206" customWidth="1"/>
    <col min="3079" max="3079" width="11" style="206" bestFit="1" customWidth="1"/>
    <col min="3080" max="3331" width="9.140625" style="206"/>
    <col min="3332" max="3332" width="13.42578125" style="206" bestFit="1" customWidth="1"/>
    <col min="3333" max="3333" width="16.42578125" style="206" bestFit="1" customWidth="1"/>
    <col min="3334" max="3334" width="23.42578125" style="206" customWidth="1"/>
    <col min="3335" max="3335" width="11" style="206" bestFit="1" customWidth="1"/>
    <col min="3336" max="3587" width="9.140625" style="206"/>
    <col min="3588" max="3588" width="13.42578125" style="206" bestFit="1" customWidth="1"/>
    <col min="3589" max="3589" width="16.42578125" style="206" bestFit="1" customWidth="1"/>
    <col min="3590" max="3590" width="23.42578125" style="206" customWidth="1"/>
    <col min="3591" max="3591" width="11" style="206" bestFit="1" customWidth="1"/>
    <col min="3592" max="3843" width="9.140625" style="206"/>
    <col min="3844" max="3844" width="13.42578125" style="206" bestFit="1" customWidth="1"/>
    <col min="3845" max="3845" width="16.42578125" style="206" bestFit="1" customWidth="1"/>
    <col min="3846" max="3846" width="23.42578125" style="206" customWidth="1"/>
    <col min="3847" max="3847" width="11" style="206" bestFit="1" customWidth="1"/>
    <col min="3848" max="4099" width="9.140625" style="206"/>
    <col min="4100" max="4100" width="13.42578125" style="206" bestFit="1" customWidth="1"/>
    <col min="4101" max="4101" width="16.42578125" style="206" bestFit="1" customWidth="1"/>
    <col min="4102" max="4102" width="23.42578125" style="206" customWidth="1"/>
    <col min="4103" max="4103" width="11" style="206" bestFit="1" customWidth="1"/>
    <col min="4104" max="4355" width="9.140625" style="206"/>
    <col min="4356" max="4356" width="13.42578125" style="206" bestFit="1" customWidth="1"/>
    <col min="4357" max="4357" width="16.42578125" style="206" bestFit="1" customWidth="1"/>
    <col min="4358" max="4358" width="23.42578125" style="206" customWidth="1"/>
    <col min="4359" max="4359" width="11" style="206" bestFit="1" customWidth="1"/>
    <col min="4360" max="4611" width="9.140625" style="206"/>
    <col min="4612" max="4612" width="13.42578125" style="206" bestFit="1" customWidth="1"/>
    <col min="4613" max="4613" width="16.42578125" style="206" bestFit="1" customWidth="1"/>
    <col min="4614" max="4614" width="23.42578125" style="206" customWidth="1"/>
    <col min="4615" max="4615" width="11" style="206" bestFit="1" customWidth="1"/>
    <col min="4616" max="4867" width="9.140625" style="206"/>
    <col min="4868" max="4868" width="13.42578125" style="206" bestFit="1" customWidth="1"/>
    <col min="4869" max="4869" width="16.42578125" style="206" bestFit="1" customWidth="1"/>
    <col min="4870" max="4870" width="23.42578125" style="206" customWidth="1"/>
    <col min="4871" max="4871" width="11" style="206" bestFit="1" customWidth="1"/>
    <col min="4872" max="5123" width="9.140625" style="206"/>
    <col min="5124" max="5124" width="13.42578125" style="206" bestFit="1" customWidth="1"/>
    <col min="5125" max="5125" width="16.42578125" style="206" bestFit="1" customWidth="1"/>
    <col min="5126" max="5126" width="23.42578125" style="206" customWidth="1"/>
    <col min="5127" max="5127" width="11" style="206" bestFit="1" customWidth="1"/>
    <col min="5128" max="5379" width="9.140625" style="206"/>
    <col min="5380" max="5380" width="13.42578125" style="206" bestFit="1" customWidth="1"/>
    <col min="5381" max="5381" width="16.42578125" style="206" bestFit="1" customWidth="1"/>
    <col min="5382" max="5382" width="23.42578125" style="206" customWidth="1"/>
    <col min="5383" max="5383" width="11" style="206" bestFit="1" customWidth="1"/>
    <col min="5384" max="5635" width="9.140625" style="206"/>
    <col min="5636" max="5636" width="13.42578125" style="206" bestFit="1" customWidth="1"/>
    <col min="5637" max="5637" width="16.42578125" style="206" bestFit="1" customWidth="1"/>
    <col min="5638" max="5638" width="23.42578125" style="206" customWidth="1"/>
    <col min="5639" max="5639" width="11" style="206" bestFit="1" customWidth="1"/>
    <col min="5640" max="5891" width="9.140625" style="206"/>
    <col min="5892" max="5892" width="13.42578125" style="206" bestFit="1" customWidth="1"/>
    <col min="5893" max="5893" width="16.42578125" style="206" bestFit="1" customWidth="1"/>
    <col min="5894" max="5894" width="23.42578125" style="206" customWidth="1"/>
    <col min="5895" max="5895" width="11" style="206" bestFit="1" customWidth="1"/>
    <col min="5896" max="6147" width="9.140625" style="206"/>
    <col min="6148" max="6148" width="13.42578125" style="206" bestFit="1" customWidth="1"/>
    <col min="6149" max="6149" width="16.42578125" style="206" bestFit="1" customWidth="1"/>
    <col min="6150" max="6150" width="23.42578125" style="206" customWidth="1"/>
    <col min="6151" max="6151" width="11" style="206" bestFit="1" customWidth="1"/>
    <col min="6152" max="6403" width="9.140625" style="206"/>
    <col min="6404" max="6404" width="13.42578125" style="206" bestFit="1" customWidth="1"/>
    <col min="6405" max="6405" width="16.42578125" style="206" bestFit="1" customWidth="1"/>
    <col min="6406" max="6406" width="23.42578125" style="206" customWidth="1"/>
    <col min="6407" max="6407" width="11" style="206" bestFit="1" customWidth="1"/>
    <col min="6408" max="6659" width="9.140625" style="206"/>
    <col min="6660" max="6660" width="13.42578125" style="206" bestFit="1" customWidth="1"/>
    <col min="6661" max="6661" width="16.42578125" style="206" bestFit="1" customWidth="1"/>
    <col min="6662" max="6662" width="23.42578125" style="206" customWidth="1"/>
    <col min="6663" max="6663" width="11" style="206" bestFit="1" customWidth="1"/>
    <col min="6664" max="6915" width="9.140625" style="206"/>
    <col min="6916" max="6916" width="13.42578125" style="206" bestFit="1" customWidth="1"/>
    <col min="6917" max="6917" width="16.42578125" style="206" bestFit="1" customWidth="1"/>
    <col min="6918" max="6918" width="23.42578125" style="206" customWidth="1"/>
    <col min="6919" max="6919" width="11" style="206" bestFit="1" customWidth="1"/>
    <col min="6920" max="7171" width="9.140625" style="206"/>
    <col min="7172" max="7172" width="13.42578125" style="206" bestFit="1" customWidth="1"/>
    <col min="7173" max="7173" width="16.42578125" style="206" bestFit="1" customWidth="1"/>
    <col min="7174" max="7174" width="23.42578125" style="206" customWidth="1"/>
    <col min="7175" max="7175" width="11" style="206" bestFit="1" customWidth="1"/>
    <col min="7176" max="7427" width="9.140625" style="206"/>
    <col min="7428" max="7428" width="13.42578125" style="206" bestFit="1" customWidth="1"/>
    <col min="7429" max="7429" width="16.42578125" style="206" bestFit="1" customWidth="1"/>
    <col min="7430" max="7430" width="23.42578125" style="206" customWidth="1"/>
    <col min="7431" max="7431" width="11" style="206" bestFit="1" customWidth="1"/>
    <col min="7432" max="7683" width="9.140625" style="206"/>
    <col min="7684" max="7684" width="13.42578125" style="206" bestFit="1" customWidth="1"/>
    <col min="7685" max="7685" width="16.42578125" style="206" bestFit="1" customWidth="1"/>
    <col min="7686" max="7686" width="23.42578125" style="206" customWidth="1"/>
    <col min="7687" max="7687" width="11" style="206" bestFit="1" customWidth="1"/>
    <col min="7688" max="7939" width="9.140625" style="206"/>
    <col min="7940" max="7940" width="13.42578125" style="206" bestFit="1" customWidth="1"/>
    <col min="7941" max="7941" width="16.42578125" style="206" bestFit="1" customWidth="1"/>
    <col min="7942" max="7942" width="23.42578125" style="206" customWidth="1"/>
    <col min="7943" max="7943" width="11" style="206" bestFit="1" customWidth="1"/>
    <col min="7944" max="8195" width="9.140625" style="206"/>
    <col min="8196" max="8196" width="13.42578125" style="206" bestFit="1" customWidth="1"/>
    <col min="8197" max="8197" width="16.42578125" style="206" bestFit="1" customWidth="1"/>
    <col min="8198" max="8198" width="23.42578125" style="206" customWidth="1"/>
    <col min="8199" max="8199" width="11" style="206" bestFit="1" customWidth="1"/>
    <col min="8200" max="8451" width="9.140625" style="206"/>
    <col min="8452" max="8452" width="13.42578125" style="206" bestFit="1" customWidth="1"/>
    <col min="8453" max="8453" width="16.42578125" style="206" bestFit="1" customWidth="1"/>
    <col min="8454" max="8454" width="23.42578125" style="206" customWidth="1"/>
    <col min="8455" max="8455" width="11" style="206" bestFit="1" customWidth="1"/>
    <col min="8456" max="8707" width="9.140625" style="206"/>
    <col min="8708" max="8708" width="13.42578125" style="206" bestFit="1" customWidth="1"/>
    <col min="8709" max="8709" width="16.42578125" style="206" bestFit="1" customWidth="1"/>
    <col min="8710" max="8710" width="23.42578125" style="206" customWidth="1"/>
    <col min="8711" max="8711" width="11" style="206" bestFit="1" customWidth="1"/>
    <col min="8712" max="8963" width="9.140625" style="206"/>
    <col min="8964" max="8964" width="13.42578125" style="206" bestFit="1" customWidth="1"/>
    <col min="8965" max="8965" width="16.42578125" style="206" bestFit="1" customWidth="1"/>
    <col min="8966" max="8966" width="23.42578125" style="206" customWidth="1"/>
    <col min="8967" max="8967" width="11" style="206" bestFit="1" customWidth="1"/>
    <col min="8968" max="9219" width="9.140625" style="206"/>
    <col min="9220" max="9220" width="13.42578125" style="206" bestFit="1" customWidth="1"/>
    <col min="9221" max="9221" width="16.42578125" style="206" bestFit="1" customWidth="1"/>
    <col min="9222" max="9222" width="23.42578125" style="206" customWidth="1"/>
    <col min="9223" max="9223" width="11" style="206" bestFit="1" customWidth="1"/>
    <col min="9224" max="9475" width="9.140625" style="206"/>
    <col min="9476" max="9476" width="13.42578125" style="206" bestFit="1" customWidth="1"/>
    <col min="9477" max="9477" width="16.42578125" style="206" bestFit="1" customWidth="1"/>
    <col min="9478" max="9478" width="23.42578125" style="206" customWidth="1"/>
    <col min="9479" max="9479" width="11" style="206" bestFit="1" customWidth="1"/>
    <col min="9480" max="9731" width="9.140625" style="206"/>
    <col min="9732" max="9732" width="13.42578125" style="206" bestFit="1" customWidth="1"/>
    <col min="9733" max="9733" width="16.42578125" style="206" bestFit="1" customWidth="1"/>
    <col min="9734" max="9734" width="23.42578125" style="206" customWidth="1"/>
    <col min="9735" max="9735" width="11" style="206" bestFit="1" customWidth="1"/>
    <col min="9736" max="9987" width="9.140625" style="206"/>
    <col min="9988" max="9988" width="13.42578125" style="206" bestFit="1" customWidth="1"/>
    <col min="9989" max="9989" width="16.42578125" style="206" bestFit="1" customWidth="1"/>
    <col min="9990" max="9990" width="23.42578125" style="206" customWidth="1"/>
    <col min="9991" max="9991" width="11" style="206" bestFit="1" customWidth="1"/>
    <col min="9992" max="10243" width="9.140625" style="206"/>
    <col min="10244" max="10244" width="13.42578125" style="206" bestFit="1" customWidth="1"/>
    <col min="10245" max="10245" width="16.42578125" style="206" bestFit="1" customWidth="1"/>
    <col min="10246" max="10246" width="23.42578125" style="206" customWidth="1"/>
    <col min="10247" max="10247" width="11" style="206" bestFit="1" customWidth="1"/>
    <col min="10248" max="10499" width="9.140625" style="206"/>
    <col min="10500" max="10500" width="13.42578125" style="206" bestFit="1" customWidth="1"/>
    <col min="10501" max="10501" width="16.42578125" style="206" bestFit="1" customWidth="1"/>
    <col min="10502" max="10502" width="23.42578125" style="206" customWidth="1"/>
    <col min="10503" max="10503" width="11" style="206" bestFit="1" customWidth="1"/>
    <col min="10504" max="10755" width="9.140625" style="206"/>
    <col min="10756" max="10756" width="13.42578125" style="206" bestFit="1" customWidth="1"/>
    <col min="10757" max="10757" width="16.42578125" style="206" bestFit="1" customWidth="1"/>
    <col min="10758" max="10758" width="23.42578125" style="206" customWidth="1"/>
    <col min="10759" max="10759" width="11" style="206" bestFit="1" customWidth="1"/>
    <col min="10760" max="11011" width="9.140625" style="206"/>
    <col min="11012" max="11012" width="13.42578125" style="206" bestFit="1" customWidth="1"/>
    <col min="11013" max="11013" width="16.42578125" style="206" bestFit="1" customWidth="1"/>
    <col min="11014" max="11014" width="23.42578125" style="206" customWidth="1"/>
    <col min="11015" max="11015" width="11" style="206" bestFit="1" customWidth="1"/>
    <col min="11016" max="11267" width="9.140625" style="206"/>
    <col min="11268" max="11268" width="13.42578125" style="206" bestFit="1" customWidth="1"/>
    <col min="11269" max="11269" width="16.42578125" style="206" bestFit="1" customWidth="1"/>
    <col min="11270" max="11270" width="23.42578125" style="206" customWidth="1"/>
    <col min="11271" max="11271" width="11" style="206" bestFit="1" customWidth="1"/>
    <col min="11272" max="11523" width="9.140625" style="206"/>
    <col min="11524" max="11524" width="13.42578125" style="206" bestFit="1" customWidth="1"/>
    <col min="11525" max="11525" width="16.42578125" style="206" bestFit="1" customWidth="1"/>
    <col min="11526" max="11526" width="23.42578125" style="206" customWidth="1"/>
    <col min="11527" max="11527" width="11" style="206" bestFit="1" customWidth="1"/>
    <col min="11528" max="11779" width="9.140625" style="206"/>
    <col min="11780" max="11780" width="13.42578125" style="206" bestFit="1" customWidth="1"/>
    <col min="11781" max="11781" width="16.42578125" style="206" bestFit="1" customWidth="1"/>
    <col min="11782" max="11782" width="23.42578125" style="206" customWidth="1"/>
    <col min="11783" max="11783" width="11" style="206" bestFit="1" customWidth="1"/>
    <col min="11784" max="12035" width="9.140625" style="206"/>
    <col min="12036" max="12036" width="13.42578125" style="206" bestFit="1" customWidth="1"/>
    <col min="12037" max="12037" width="16.42578125" style="206" bestFit="1" customWidth="1"/>
    <col min="12038" max="12038" width="23.42578125" style="206" customWidth="1"/>
    <col min="12039" max="12039" width="11" style="206" bestFit="1" customWidth="1"/>
    <col min="12040" max="12291" width="9.140625" style="206"/>
    <col min="12292" max="12292" width="13.42578125" style="206" bestFit="1" customWidth="1"/>
    <col min="12293" max="12293" width="16.42578125" style="206" bestFit="1" customWidth="1"/>
    <col min="12294" max="12294" width="23.42578125" style="206" customWidth="1"/>
    <col min="12295" max="12295" width="11" style="206" bestFit="1" customWidth="1"/>
    <col min="12296" max="12547" width="9.140625" style="206"/>
    <col min="12548" max="12548" width="13.42578125" style="206" bestFit="1" customWidth="1"/>
    <col min="12549" max="12549" width="16.42578125" style="206" bestFit="1" customWidth="1"/>
    <col min="12550" max="12550" width="23.42578125" style="206" customWidth="1"/>
    <col min="12551" max="12551" width="11" style="206" bestFit="1" customWidth="1"/>
    <col min="12552" max="12803" width="9.140625" style="206"/>
    <col min="12804" max="12804" width="13.42578125" style="206" bestFit="1" customWidth="1"/>
    <col min="12805" max="12805" width="16.42578125" style="206" bestFit="1" customWidth="1"/>
    <col min="12806" max="12806" width="23.42578125" style="206" customWidth="1"/>
    <col min="12807" max="12807" width="11" style="206" bestFit="1" customWidth="1"/>
    <col min="12808" max="13059" width="9.140625" style="206"/>
    <col min="13060" max="13060" width="13.42578125" style="206" bestFit="1" customWidth="1"/>
    <col min="13061" max="13061" width="16.42578125" style="206" bestFit="1" customWidth="1"/>
    <col min="13062" max="13062" width="23.42578125" style="206" customWidth="1"/>
    <col min="13063" max="13063" width="11" style="206" bestFit="1" customWidth="1"/>
    <col min="13064" max="13315" width="9.140625" style="206"/>
    <col min="13316" max="13316" width="13.42578125" style="206" bestFit="1" customWidth="1"/>
    <col min="13317" max="13317" width="16.42578125" style="206" bestFit="1" customWidth="1"/>
    <col min="13318" max="13318" width="23.42578125" style="206" customWidth="1"/>
    <col min="13319" max="13319" width="11" style="206" bestFit="1" customWidth="1"/>
    <col min="13320" max="13571" width="9.140625" style="206"/>
    <col min="13572" max="13572" width="13.42578125" style="206" bestFit="1" customWidth="1"/>
    <col min="13573" max="13573" width="16.42578125" style="206" bestFit="1" customWidth="1"/>
    <col min="13574" max="13574" width="23.42578125" style="206" customWidth="1"/>
    <col min="13575" max="13575" width="11" style="206" bestFit="1" customWidth="1"/>
    <col min="13576" max="13827" width="9.140625" style="206"/>
    <col min="13828" max="13828" width="13.42578125" style="206" bestFit="1" customWidth="1"/>
    <col min="13829" max="13829" width="16.42578125" style="206" bestFit="1" customWidth="1"/>
    <col min="13830" max="13830" width="23.42578125" style="206" customWidth="1"/>
    <col min="13831" max="13831" width="11" style="206" bestFit="1" customWidth="1"/>
    <col min="13832" max="14083" width="9.140625" style="206"/>
    <col min="14084" max="14084" width="13.42578125" style="206" bestFit="1" customWidth="1"/>
    <col min="14085" max="14085" width="16.42578125" style="206" bestFit="1" customWidth="1"/>
    <col min="14086" max="14086" width="23.42578125" style="206" customWidth="1"/>
    <col min="14087" max="14087" width="11" style="206" bestFit="1" customWidth="1"/>
    <col min="14088" max="14339" width="9.140625" style="206"/>
    <col min="14340" max="14340" width="13.42578125" style="206" bestFit="1" customWidth="1"/>
    <col min="14341" max="14341" width="16.42578125" style="206" bestFit="1" customWidth="1"/>
    <col min="14342" max="14342" width="23.42578125" style="206" customWidth="1"/>
    <col min="14343" max="14343" width="11" style="206" bestFit="1" customWidth="1"/>
    <col min="14344" max="14595" width="9.140625" style="206"/>
    <col min="14596" max="14596" width="13.42578125" style="206" bestFit="1" customWidth="1"/>
    <col min="14597" max="14597" width="16.42578125" style="206" bestFit="1" customWidth="1"/>
    <col min="14598" max="14598" width="23.42578125" style="206" customWidth="1"/>
    <col min="14599" max="14599" width="11" style="206" bestFit="1" customWidth="1"/>
    <col min="14600" max="14851" width="9.140625" style="206"/>
    <col min="14852" max="14852" width="13.42578125" style="206" bestFit="1" customWidth="1"/>
    <col min="14853" max="14853" width="16.42578125" style="206" bestFit="1" customWidth="1"/>
    <col min="14854" max="14854" width="23.42578125" style="206" customWidth="1"/>
    <col min="14855" max="14855" width="11" style="206" bestFit="1" customWidth="1"/>
    <col min="14856" max="15107" width="9.140625" style="206"/>
    <col min="15108" max="15108" width="13.42578125" style="206" bestFit="1" customWidth="1"/>
    <col min="15109" max="15109" width="16.42578125" style="206" bestFit="1" customWidth="1"/>
    <col min="15110" max="15110" width="23.42578125" style="206" customWidth="1"/>
    <col min="15111" max="15111" width="11" style="206" bestFit="1" customWidth="1"/>
    <col min="15112" max="15363" width="9.140625" style="206"/>
    <col min="15364" max="15364" width="13.42578125" style="206" bestFit="1" customWidth="1"/>
    <col min="15365" max="15365" width="16.42578125" style="206" bestFit="1" customWidth="1"/>
    <col min="15366" max="15366" width="23.42578125" style="206" customWidth="1"/>
    <col min="15367" max="15367" width="11" style="206" bestFit="1" customWidth="1"/>
    <col min="15368" max="15619" width="9.140625" style="206"/>
    <col min="15620" max="15620" width="13.42578125" style="206" bestFit="1" customWidth="1"/>
    <col min="15621" max="15621" width="16.42578125" style="206" bestFit="1" customWidth="1"/>
    <col min="15622" max="15622" width="23.42578125" style="206" customWidth="1"/>
    <col min="15623" max="15623" width="11" style="206" bestFit="1" customWidth="1"/>
    <col min="15624" max="15875" width="9.140625" style="206"/>
    <col min="15876" max="15876" width="13.42578125" style="206" bestFit="1" customWidth="1"/>
    <col min="15877" max="15877" width="16.42578125" style="206" bestFit="1" customWidth="1"/>
    <col min="15878" max="15878" width="23.42578125" style="206" customWidth="1"/>
    <col min="15879" max="15879" width="11" style="206" bestFit="1" customWidth="1"/>
    <col min="15880" max="16131" width="9.140625" style="206"/>
    <col min="16132" max="16132" width="13.42578125" style="206" bestFit="1" customWidth="1"/>
    <col min="16133" max="16133" width="16.42578125" style="206" bestFit="1" customWidth="1"/>
    <col min="16134" max="16134" width="23.42578125" style="206" customWidth="1"/>
    <col min="16135" max="16135" width="11" style="206" bestFit="1" customWidth="1"/>
    <col min="16136" max="16384" width="9.140625" style="206"/>
  </cols>
  <sheetData>
    <row r="1" spans="1:38" ht="20.25" x14ac:dyDescent="0.3">
      <c r="A1" s="207"/>
      <c r="B1" s="208"/>
      <c r="C1" s="207"/>
      <c r="D1" s="208"/>
      <c r="E1" s="207"/>
      <c r="F1" s="207"/>
      <c r="G1" s="207"/>
      <c r="H1" s="76" t="s">
        <v>20</v>
      </c>
      <c r="I1" s="209"/>
      <c r="J1" s="209"/>
      <c r="K1" s="209"/>
      <c r="L1" s="209"/>
      <c r="M1" s="209"/>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row>
    <row r="2" spans="1:38" x14ac:dyDescent="0.2">
      <c r="A2" s="209"/>
      <c r="B2" s="379"/>
      <c r="C2" s="379"/>
      <c r="D2" s="379"/>
      <c r="E2" s="379"/>
      <c r="F2" s="210"/>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row>
    <row r="3" spans="1:38" x14ac:dyDescent="0.2">
      <c r="A3" s="209"/>
      <c r="B3" s="380" t="s">
        <v>225</v>
      </c>
      <c r="C3" s="380"/>
      <c r="D3" s="380"/>
      <c r="E3" s="380"/>
      <c r="F3" s="211" t="s">
        <v>63</v>
      </c>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row>
    <row r="4" spans="1:38" x14ac:dyDescent="0.2">
      <c r="A4" s="209"/>
      <c r="B4" s="209"/>
      <c r="C4" s="209" t="s">
        <v>330</v>
      </c>
      <c r="D4" s="209">
        <v>0.66815999999999998</v>
      </c>
      <c r="E4" s="209" t="s">
        <v>331</v>
      </c>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row>
    <row r="5" spans="1:38" x14ac:dyDescent="0.2">
      <c r="A5" s="209"/>
      <c r="B5" s="212"/>
      <c r="C5" s="212" t="s">
        <v>332</v>
      </c>
      <c r="D5" s="206">
        <v>35.314999999999998</v>
      </c>
      <c r="E5" s="206" t="s">
        <v>333</v>
      </c>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row>
    <row r="6" spans="1:38" x14ac:dyDescent="0.2">
      <c r="A6" s="209"/>
      <c r="B6" s="213"/>
      <c r="C6" s="213"/>
      <c r="D6" s="206">
        <f>(D4/D5)*1000</f>
        <v>18.92000566331587</v>
      </c>
      <c r="E6" s="206" t="s">
        <v>334</v>
      </c>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row>
    <row r="7" spans="1:38" x14ac:dyDescent="0.2">
      <c r="A7" s="209"/>
      <c r="B7" s="212"/>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row>
    <row r="8" spans="1:38" x14ac:dyDescent="0.2">
      <c r="A8" s="209"/>
      <c r="B8" s="213"/>
      <c r="C8" s="206" t="s">
        <v>335</v>
      </c>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row>
    <row r="9" spans="1:38" x14ac:dyDescent="0.2">
      <c r="A9" s="209"/>
      <c r="B9" s="212"/>
      <c r="C9" s="206">
        <v>1</v>
      </c>
      <c r="D9" s="206" t="s">
        <v>336</v>
      </c>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c r="AH9" s="209"/>
      <c r="AI9" s="209"/>
      <c r="AJ9" s="209"/>
      <c r="AK9" s="209"/>
      <c r="AL9" s="209"/>
    </row>
    <row r="10" spans="1:38" x14ac:dyDescent="0.2">
      <c r="A10" s="209"/>
      <c r="B10" s="214"/>
      <c r="C10" s="209">
        <f>CONVERT(C9,"gal","l")</f>
        <v>3.7854117839999999</v>
      </c>
      <c r="D10" s="209" t="s">
        <v>329</v>
      </c>
      <c r="E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row>
    <row r="11" spans="1:38" x14ac:dyDescent="0.2">
      <c r="A11" s="209"/>
      <c r="B11" s="215"/>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row>
    <row r="12" spans="1:38" x14ac:dyDescent="0.2">
      <c r="A12" s="209"/>
      <c r="B12" s="216"/>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row>
    <row r="13" spans="1:38" x14ac:dyDescent="0.2">
      <c r="A13" s="209"/>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09"/>
      <c r="AL13" s="209"/>
    </row>
    <row r="14" spans="1:38" x14ac:dyDescent="0.2">
      <c r="A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09"/>
    </row>
    <row r="15" spans="1:38" x14ac:dyDescent="0.2">
      <c r="A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09"/>
    </row>
    <row r="16" spans="1:38" x14ac:dyDescent="0.2">
      <c r="A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row>
    <row r="17" spans="1:38" x14ac:dyDescent="0.2">
      <c r="A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row>
    <row r="18" spans="1:38" x14ac:dyDescent="0.2">
      <c r="A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row>
    <row r="19" spans="1:38" x14ac:dyDescent="0.2">
      <c r="A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row>
    <row r="20" spans="1:38" x14ac:dyDescent="0.2">
      <c r="A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row>
    <row r="21" spans="1:38" x14ac:dyDescent="0.2">
      <c r="A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row>
    <row r="22" spans="1:38" x14ac:dyDescent="0.2">
      <c r="A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row>
    <row r="23" spans="1:38" x14ac:dyDescent="0.2">
      <c r="A23" s="209"/>
      <c r="B23" s="209"/>
      <c r="C23" s="209"/>
      <c r="D23" s="209"/>
      <c r="E23" s="209"/>
      <c r="F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09"/>
    </row>
    <row r="24" spans="1:38" x14ac:dyDescent="0.2">
      <c r="A24" s="209"/>
      <c r="B24" s="209"/>
      <c r="C24" s="209"/>
      <c r="D24" s="209"/>
      <c r="E24" s="209"/>
      <c r="F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row>
    <row r="25" spans="1:38" x14ac:dyDescent="0.2">
      <c r="A25" s="209"/>
      <c r="B25" s="171"/>
      <c r="C25" s="217"/>
      <c r="D25" s="171"/>
      <c r="E25" s="171"/>
      <c r="F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09"/>
      <c r="AL25" s="209"/>
    </row>
    <row r="26" spans="1:38" x14ac:dyDescent="0.2">
      <c r="A26" s="209"/>
      <c r="B26" s="218"/>
      <c r="C26" s="219"/>
      <c r="D26" s="171"/>
      <c r="E26" s="171"/>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row>
    <row r="27" spans="1:38" x14ac:dyDescent="0.2">
      <c r="A27" s="209"/>
      <c r="B27" s="218"/>
      <c r="C27" s="219"/>
      <c r="D27" s="171"/>
      <c r="E27" s="171"/>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row>
    <row r="28" spans="1:38" x14ac:dyDescent="0.2">
      <c r="A28" s="209"/>
      <c r="B28" s="218"/>
      <c r="C28" s="219"/>
      <c r="D28" s="171"/>
      <c r="E28" s="171"/>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row>
    <row r="29" spans="1:38" x14ac:dyDescent="0.2">
      <c r="B29" s="218"/>
      <c r="C29" s="209"/>
      <c r="D29" s="209"/>
      <c r="E29" s="209"/>
    </row>
    <row r="30" spans="1:38" x14ac:dyDescent="0.2">
      <c r="B30" s="218"/>
      <c r="C30" s="209"/>
      <c r="D30" s="209"/>
      <c r="E30" s="209"/>
    </row>
    <row r="31" spans="1:38" x14ac:dyDescent="0.2">
      <c r="B31" s="215"/>
      <c r="C31" s="209"/>
      <c r="D31" s="209"/>
      <c r="E31" s="209"/>
    </row>
    <row r="37" spans="10:10" x14ac:dyDescent="0.2">
      <c r="J37" s="220"/>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L15"/>
  <sheetViews>
    <sheetView zoomScaleNormal="100" workbookViewId="0">
      <selection activeCell="D15" sqref="D15:L15"/>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6"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10" t="s">
        <v>226</v>
      </c>
      <c r="D3" s="210" t="s">
        <v>9</v>
      </c>
    </row>
    <row r="4" spans="1:38" ht="30.75" customHeight="1" x14ac:dyDescent="0.2">
      <c r="C4" s="221">
        <v>1</v>
      </c>
      <c r="D4" s="381" t="s">
        <v>487</v>
      </c>
      <c r="E4" s="382"/>
      <c r="F4" s="382"/>
      <c r="G4" s="382"/>
      <c r="H4" s="382"/>
      <c r="I4" s="382"/>
      <c r="J4" s="382"/>
      <c r="K4" s="382"/>
      <c r="L4" s="382"/>
    </row>
    <row r="5" spans="1:38" ht="15" x14ac:dyDescent="0.2">
      <c r="C5" s="221">
        <v>2</v>
      </c>
      <c r="D5" s="381" t="s">
        <v>488</v>
      </c>
      <c r="E5" s="382"/>
      <c r="F5" s="382"/>
      <c r="G5" s="382"/>
      <c r="H5" s="382"/>
      <c r="I5" s="382"/>
      <c r="J5" s="382"/>
      <c r="K5" s="382"/>
      <c r="L5" s="382"/>
    </row>
    <row r="6" spans="1:38" ht="30.75" customHeight="1" x14ac:dyDescent="0.2">
      <c r="C6" s="221">
        <v>3</v>
      </c>
      <c r="D6" s="381" t="s">
        <v>489</v>
      </c>
      <c r="E6" s="382"/>
      <c r="F6" s="382"/>
      <c r="G6" s="382"/>
      <c r="H6" s="382"/>
      <c r="I6" s="382"/>
      <c r="J6" s="382"/>
      <c r="K6" s="382"/>
      <c r="L6" s="382"/>
    </row>
    <row r="7" spans="1:38" ht="29.25" customHeight="1" x14ac:dyDescent="0.2">
      <c r="C7" s="221">
        <v>4</v>
      </c>
      <c r="D7" s="381" t="s">
        <v>490</v>
      </c>
      <c r="E7" s="382"/>
      <c r="F7" s="382"/>
      <c r="G7" s="382"/>
      <c r="H7" s="382"/>
      <c r="I7" s="382"/>
      <c r="J7" s="382"/>
      <c r="K7" s="382"/>
      <c r="L7" s="382"/>
    </row>
    <row r="8" spans="1:38" ht="30" customHeight="1" x14ac:dyDescent="0.2">
      <c r="C8" s="221">
        <v>5</v>
      </c>
      <c r="D8" s="381" t="s">
        <v>491</v>
      </c>
      <c r="E8" s="382"/>
      <c r="F8" s="382"/>
      <c r="G8" s="382"/>
      <c r="H8" s="382"/>
      <c r="I8" s="382"/>
      <c r="J8" s="382"/>
      <c r="K8" s="382"/>
      <c r="L8" s="382"/>
    </row>
    <row r="9" spans="1:38" ht="30" customHeight="1" x14ac:dyDescent="0.2">
      <c r="C9" s="221">
        <v>6</v>
      </c>
      <c r="D9" s="381" t="s">
        <v>492</v>
      </c>
      <c r="E9" s="382"/>
      <c r="F9" s="382"/>
      <c r="G9" s="382"/>
      <c r="H9" s="382"/>
      <c r="I9" s="382"/>
      <c r="J9" s="382"/>
      <c r="K9" s="382"/>
      <c r="L9" s="382"/>
    </row>
    <row r="10" spans="1:38" ht="29.25" customHeight="1" x14ac:dyDescent="0.2">
      <c r="C10" s="221">
        <v>7</v>
      </c>
      <c r="D10" s="381" t="s">
        <v>493</v>
      </c>
      <c r="E10" s="382"/>
      <c r="F10" s="382"/>
      <c r="G10" s="382"/>
      <c r="H10" s="382"/>
      <c r="I10" s="382"/>
      <c r="J10" s="382"/>
      <c r="K10" s="382"/>
      <c r="L10" s="382"/>
    </row>
    <row r="11" spans="1:38" ht="30" customHeight="1" x14ac:dyDescent="0.2">
      <c r="C11" s="221">
        <v>8</v>
      </c>
      <c r="D11" s="381" t="s">
        <v>494</v>
      </c>
      <c r="E11" s="382"/>
      <c r="F11" s="382"/>
      <c r="G11" s="382"/>
      <c r="H11" s="382"/>
      <c r="I11" s="382"/>
      <c r="J11" s="382"/>
      <c r="K11" s="382"/>
      <c r="L11" s="382"/>
    </row>
    <row r="12" spans="1:38" ht="30.75" customHeight="1" x14ac:dyDescent="0.2">
      <c r="C12" s="221">
        <v>14</v>
      </c>
      <c r="D12" s="381" t="s">
        <v>863</v>
      </c>
      <c r="E12" s="382"/>
      <c r="F12" s="382"/>
      <c r="G12" s="382"/>
      <c r="H12" s="382"/>
      <c r="I12" s="382"/>
      <c r="J12" s="382"/>
      <c r="K12" s="382"/>
      <c r="L12" s="382"/>
    </row>
    <row r="13" spans="1:38" ht="30" customHeight="1" x14ac:dyDescent="0.2">
      <c r="C13" s="221">
        <v>15</v>
      </c>
      <c r="D13" s="381" t="s">
        <v>864</v>
      </c>
      <c r="E13" s="382"/>
      <c r="F13" s="382"/>
      <c r="G13" s="382"/>
      <c r="H13" s="382"/>
      <c r="I13" s="382"/>
      <c r="J13" s="382"/>
      <c r="K13" s="382"/>
      <c r="L13" s="382"/>
    </row>
    <row r="14" spans="1:38" ht="29.25" customHeight="1" x14ac:dyDescent="0.2">
      <c r="C14" s="221">
        <v>16</v>
      </c>
      <c r="D14" s="381" t="s">
        <v>865</v>
      </c>
      <c r="E14" s="382"/>
      <c r="F14" s="382"/>
      <c r="G14" s="382"/>
      <c r="H14" s="382"/>
      <c r="I14" s="382"/>
      <c r="J14" s="382"/>
      <c r="K14" s="382"/>
      <c r="L14" s="382"/>
    </row>
    <row r="15" spans="1:38" ht="96.75" customHeight="1" x14ac:dyDescent="0.2">
      <c r="C15" s="221">
        <v>17</v>
      </c>
      <c r="D15" s="381" t="s">
        <v>866</v>
      </c>
      <c r="E15" s="381"/>
      <c r="F15" s="381"/>
      <c r="G15" s="381"/>
      <c r="H15" s="381"/>
      <c r="I15" s="381"/>
      <c r="J15" s="381"/>
      <c r="K15" s="381"/>
      <c r="L15" s="381"/>
    </row>
  </sheetData>
  <mergeCells count="12">
    <mergeCell ref="D9:L9"/>
    <mergeCell ref="D15:L15"/>
    <mergeCell ref="D4:L4"/>
    <mergeCell ref="D5:L5"/>
    <mergeCell ref="D6:L6"/>
    <mergeCell ref="D7:L7"/>
    <mergeCell ref="D8:L8"/>
    <mergeCell ref="D14:L14"/>
    <mergeCell ref="D10:L10"/>
    <mergeCell ref="D11:L11"/>
    <mergeCell ref="D12:L12"/>
    <mergeCell ref="D13:L1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A0B54-BD3D-4844-B9D4-19542A2A7816}">
  <dimension ref="A1:S23"/>
  <sheetViews>
    <sheetView zoomScale="120" zoomScaleNormal="120" workbookViewId="0">
      <selection activeCell="F26" sqref="F26"/>
    </sheetView>
  </sheetViews>
  <sheetFormatPr defaultRowHeight="15" x14ac:dyDescent="0.25"/>
  <sheetData>
    <row r="1" spans="1:19" x14ac:dyDescent="0.25">
      <c r="A1" s="277"/>
      <c r="B1" s="277"/>
      <c r="C1" s="277"/>
      <c r="D1" s="277"/>
      <c r="E1" s="277"/>
      <c r="F1" s="277"/>
      <c r="G1" s="277"/>
      <c r="H1" s="277"/>
      <c r="I1" s="277"/>
      <c r="J1" s="277"/>
      <c r="K1" s="277"/>
      <c r="L1" s="277"/>
      <c r="M1" s="277"/>
      <c r="N1" s="277"/>
      <c r="O1" s="277"/>
      <c r="P1" s="277"/>
      <c r="Q1" s="277"/>
      <c r="R1" s="277"/>
      <c r="S1" s="277"/>
    </row>
    <row r="2" spans="1:19" x14ac:dyDescent="0.25">
      <c r="A2" s="277"/>
      <c r="B2" s="277"/>
      <c r="C2" s="277"/>
      <c r="D2" s="277"/>
      <c r="E2" s="277"/>
      <c r="F2" s="277"/>
      <c r="G2" s="277"/>
      <c r="H2" s="277"/>
      <c r="I2" s="277"/>
      <c r="J2" s="277"/>
      <c r="K2" s="277"/>
      <c r="L2" s="277"/>
      <c r="M2" s="277"/>
      <c r="N2" s="277"/>
      <c r="O2" s="277"/>
      <c r="P2" s="277"/>
      <c r="Q2" s="277"/>
      <c r="R2" s="277"/>
      <c r="S2" s="277"/>
    </row>
    <row r="3" spans="1:19" x14ac:dyDescent="0.25">
      <c r="A3" s="277"/>
      <c r="B3" s="277"/>
      <c r="C3" s="277"/>
      <c r="D3" s="277"/>
      <c r="E3" s="277"/>
      <c r="F3" s="277"/>
      <c r="G3" s="277"/>
      <c r="H3" s="277"/>
      <c r="I3" s="277"/>
      <c r="J3" s="277"/>
      <c r="K3" s="277"/>
      <c r="L3" s="277"/>
      <c r="M3" s="277"/>
      <c r="N3" s="277"/>
      <c r="O3" s="277"/>
      <c r="P3" s="277"/>
      <c r="Q3" s="277"/>
      <c r="R3" s="277"/>
      <c r="S3" s="277"/>
    </row>
    <row r="4" spans="1:19" x14ac:dyDescent="0.25">
      <c r="A4" s="277"/>
      <c r="B4" s="277"/>
      <c r="C4" s="277"/>
      <c r="D4" s="277"/>
      <c r="E4" s="277"/>
      <c r="F4" s="277"/>
      <c r="G4" s="277"/>
      <c r="H4" s="277"/>
      <c r="I4" s="277"/>
      <c r="J4" s="277"/>
      <c r="K4" s="277"/>
      <c r="L4" s="277"/>
      <c r="M4" s="277"/>
      <c r="N4" s="277"/>
      <c r="O4" s="277"/>
      <c r="P4" s="277"/>
      <c r="Q4" s="277"/>
      <c r="R4" s="277"/>
      <c r="S4" s="277"/>
    </row>
    <row r="5" spans="1:19" x14ac:dyDescent="0.25">
      <c r="A5" s="277"/>
      <c r="B5" s="277"/>
      <c r="C5" s="277"/>
      <c r="D5" s="277"/>
      <c r="E5" s="277"/>
      <c r="F5" s="277"/>
      <c r="G5" s="277"/>
      <c r="H5" s="277"/>
      <c r="I5" s="277"/>
      <c r="J5" s="277"/>
      <c r="K5" s="277"/>
      <c r="L5" s="277"/>
      <c r="M5" s="277"/>
      <c r="N5" s="277"/>
      <c r="O5" s="277"/>
      <c r="P5" s="277"/>
      <c r="Q5" s="277"/>
      <c r="R5" s="277"/>
      <c r="S5" s="277"/>
    </row>
    <row r="6" spans="1:19" x14ac:dyDescent="0.25">
      <c r="A6" s="277"/>
      <c r="B6" s="277"/>
      <c r="C6" s="277"/>
      <c r="D6" s="277"/>
      <c r="E6" s="277"/>
      <c r="F6" s="277"/>
      <c r="G6" s="277"/>
      <c r="H6" s="277"/>
      <c r="I6" s="277"/>
      <c r="J6" s="277"/>
      <c r="K6" s="277"/>
      <c r="L6" s="277"/>
      <c r="M6" s="277"/>
      <c r="N6" s="277"/>
      <c r="O6" s="277"/>
      <c r="P6" s="277"/>
      <c r="Q6" s="277"/>
      <c r="R6" s="277"/>
      <c r="S6" s="277"/>
    </row>
    <row r="7" spans="1:19" x14ac:dyDescent="0.25">
      <c r="A7" s="277"/>
      <c r="B7" s="277"/>
      <c r="C7" s="277"/>
      <c r="D7" s="277"/>
      <c r="E7" s="277"/>
      <c r="F7" s="277"/>
      <c r="G7" s="277"/>
      <c r="H7" s="277"/>
      <c r="I7" s="277"/>
      <c r="J7" s="277"/>
      <c r="K7" s="277"/>
      <c r="L7" s="277"/>
      <c r="M7" s="277"/>
      <c r="N7" s="277"/>
      <c r="O7" s="277"/>
      <c r="P7" s="277"/>
      <c r="Q7" s="277"/>
      <c r="R7" s="277"/>
      <c r="S7" s="277"/>
    </row>
    <row r="8" spans="1:19" x14ac:dyDescent="0.25">
      <c r="A8" s="277"/>
      <c r="B8" s="277"/>
      <c r="C8" s="277"/>
      <c r="D8" s="277"/>
      <c r="E8" s="277"/>
      <c r="F8" s="277"/>
      <c r="G8" s="277"/>
      <c r="H8" s="277"/>
      <c r="I8" s="277"/>
      <c r="J8" s="277"/>
      <c r="K8" s="277"/>
      <c r="L8" s="277"/>
      <c r="M8" s="277"/>
      <c r="N8" s="277"/>
      <c r="O8" s="277"/>
      <c r="P8" s="277"/>
      <c r="Q8" s="277"/>
      <c r="R8" s="277"/>
      <c r="S8" s="277"/>
    </row>
    <row r="9" spans="1:19" x14ac:dyDescent="0.25">
      <c r="A9" s="277"/>
      <c r="B9" s="277"/>
      <c r="C9" s="277"/>
      <c r="D9" s="277"/>
      <c r="E9" s="277"/>
      <c r="F9" s="277"/>
      <c r="G9" s="277"/>
      <c r="H9" s="277"/>
      <c r="I9" s="277"/>
      <c r="J9" s="277"/>
      <c r="K9" s="277"/>
      <c r="L9" s="277"/>
      <c r="M9" s="277"/>
      <c r="N9" s="277"/>
      <c r="O9" s="277"/>
      <c r="P9" s="277"/>
      <c r="Q9" s="277"/>
      <c r="R9" s="277"/>
      <c r="S9" s="277"/>
    </row>
    <row r="10" spans="1:19" x14ac:dyDescent="0.25">
      <c r="A10" s="277"/>
      <c r="B10" s="277"/>
      <c r="C10" s="277"/>
      <c r="D10" s="277"/>
      <c r="E10" s="277"/>
      <c r="F10" s="277"/>
      <c r="G10" s="277"/>
      <c r="H10" s="277"/>
      <c r="I10" s="277"/>
      <c r="J10" s="277"/>
      <c r="K10" s="277"/>
      <c r="L10" s="277"/>
      <c r="M10" s="277"/>
      <c r="N10" s="277"/>
      <c r="O10" s="277"/>
      <c r="P10" s="277"/>
      <c r="Q10" s="277"/>
      <c r="R10" s="277"/>
      <c r="S10" s="277"/>
    </row>
    <row r="11" spans="1:19" x14ac:dyDescent="0.25">
      <c r="A11" s="277"/>
      <c r="B11" s="277"/>
      <c r="C11" s="277"/>
      <c r="D11" s="277"/>
      <c r="E11" s="277"/>
      <c r="F11" s="277"/>
      <c r="G11" s="277"/>
      <c r="H11" s="277"/>
      <c r="I11" s="277"/>
      <c r="J11" s="277"/>
      <c r="K11" s="277"/>
      <c r="L11" s="277"/>
      <c r="M11" s="277"/>
      <c r="N11" s="277"/>
      <c r="O11" s="277"/>
      <c r="P11" s="277"/>
      <c r="Q11" s="277"/>
      <c r="R11" s="277"/>
      <c r="S11" s="277"/>
    </row>
    <row r="12" spans="1:19" x14ac:dyDescent="0.25">
      <c r="A12" s="277"/>
      <c r="B12" s="277"/>
      <c r="C12" s="277"/>
      <c r="D12" s="277"/>
      <c r="E12" s="277"/>
      <c r="F12" s="277"/>
      <c r="G12" s="277"/>
      <c r="H12" s="277"/>
      <c r="I12" s="277"/>
      <c r="J12" s="277"/>
      <c r="K12" s="277"/>
      <c r="L12" s="277"/>
      <c r="M12" s="277"/>
      <c r="N12" s="277"/>
      <c r="O12" s="277"/>
      <c r="P12" s="277"/>
      <c r="Q12" s="277"/>
      <c r="R12" s="277"/>
      <c r="S12" s="277"/>
    </row>
    <row r="13" spans="1:19" x14ac:dyDescent="0.25">
      <c r="A13" s="277"/>
      <c r="B13" s="277"/>
      <c r="C13" s="277"/>
      <c r="D13" s="277"/>
      <c r="E13" s="277"/>
      <c r="F13" s="277"/>
      <c r="G13" s="277"/>
      <c r="H13" s="277"/>
      <c r="I13" s="277"/>
      <c r="J13" s="277"/>
      <c r="K13" s="277"/>
      <c r="L13" s="277"/>
      <c r="M13" s="277"/>
      <c r="N13" s="277"/>
      <c r="O13" s="277"/>
      <c r="P13" s="277"/>
      <c r="Q13" s="277"/>
      <c r="R13" s="277"/>
      <c r="S13" s="277"/>
    </row>
    <row r="14" spans="1:19" x14ac:dyDescent="0.25">
      <c r="A14" s="277"/>
      <c r="B14" s="277"/>
      <c r="C14" s="277"/>
      <c r="D14" s="277"/>
      <c r="E14" s="277"/>
      <c r="F14" s="277"/>
      <c r="G14" s="277"/>
      <c r="H14" s="277"/>
      <c r="I14" s="277"/>
      <c r="J14" s="277"/>
      <c r="K14" s="277"/>
      <c r="L14" s="277"/>
      <c r="M14" s="277"/>
      <c r="N14" s="277"/>
      <c r="O14" s="277"/>
      <c r="P14" s="277"/>
      <c r="Q14" s="277"/>
      <c r="R14" s="277"/>
      <c r="S14" s="277"/>
    </row>
    <row r="15" spans="1:19" x14ac:dyDescent="0.25">
      <c r="A15" s="277"/>
      <c r="B15" s="277"/>
      <c r="C15" s="277"/>
      <c r="D15" s="277"/>
      <c r="E15" s="277"/>
      <c r="F15" s="277"/>
      <c r="G15" s="277"/>
      <c r="H15" s="277"/>
      <c r="I15" s="277"/>
      <c r="J15" s="277"/>
      <c r="K15" s="277"/>
      <c r="L15" s="277"/>
      <c r="M15" s="277"/>
      <c r="N15" s="277"/>
      <c r="O15" s="277"/>
      <c r="P15" s="277"/>
      <c r="Q15" s="277"/>
      <c r="R15" s="277"/>
      <c r="S15" s="277"/>
    </row>
    <row r="16" spans="1:19" x14ac:dyDescent="0.25">
      <c r="A16" s="277"/>
      <c r="B16" s="277"/>
      <c r="C16" s="277"/>
      <c r="D16" s="277"/>
      <c r="E16" s="277"/>
      <c r="F16" s="277"/>
      <c r="G16" s="277"/>
      <c r="H16" s="277"/>
      <c r="I16" s="277"/>
      <c r="J16" s="277"/>
      <c r="K16" s="277"/>
      <c r="L16" s="277"/>
      <c r="M16" s="277"/>
      <c r="N16" s="277"/>
      <c r="O16" s="277"/>
      <c r="P16" s="277"/>
      <c r="Q16" s="277"/>
      <c r="R16" s="277"/>
      <c r="S16" s="277"/>
    </row>
    <row r="17" spans="1:19" x14ac:dyDescent="0.25">
      <c r="A17" s="277"/>
      <c r="B17" s="277"/>
      <c r="C17" s="277"/>
      <c r="D17" s="277"/>
      <c r="E17" s="277"/>
      <c r="F17" s="277"/>
      <c r="G17" s="277"/>
      <c r="H17" s="277"/>
      <c r="I17" s="277"/>
      <c r="J17" s="277"/>
      <c r="K17" s="277"/>
      <c r="L17" s="277"/>
      <c r="M17" s="277"/>
      <c r="N17" s="277"/>
      <c r="O17" s="277"/>
      <c r="P17" s="277"/>
      <c r="Q17" s="277"/>
      <c r="R17" s="277"/>
      <c r="S17" s="277"/>
    </row>
    <row r="18" spans="1:19" x14ac:dyDescent="0.25">
      <c r="A18" s="277"/>
      <c r="B18" s="277"/>
      <c r="C18" s="277"/>
      <c r="D18" s="277"/>
      <c r="E18" s="277"/>
      <c r="F18" s="277"/>
      <c r="G18" s="277"/>
      <c r="H18" s="277"/>
      <c r="I18" s="277"/>
      <c r="J18" s="277"/>
      <c r="K18" s="277"/>
      <c r="L18" s="277"/>
      <c r="M18" s="277"/>
      <c r="N18" s="277"/>
      <c r="O18" s="277"/>
      <c r="P18" s="277"/>
      <c r="Q18" s="277"/>
      <c r="R18" s="277"/>
      <c r="S18" s="277"/>
    </row>
    <row r="19" spans="1:19" x14ac:dyDescent="0.25">
      <c r="A19" s="277"/>
      <c r="B19" s="277"/>
      <c r="C19" s="277"/>
      <c r="D19" s="277"/>
      <c r="E19" s="277"/>
      <c r="F19" s="277"/>
      <c r="G19" s="277"/>
      <c r="H19" s="277"/>
      <c r="I19" s="277"/>
      <c r="J19" s="277"/>
      <c r="K19" s="277"/>
      <c r="L19" s="277"/>
      <c r="M19" s="277"/>
      <c r="N19" s="277"/>
      <c r="O19" s="277"/>
      <c r="P19" s="277"/>
      <c r="Q19" s="277"/>
      <c r="R19" s="277"/>
      <c r="S19" s="277"/>
    </row>
    <row r="20" spans="1:19" x14ac:dyDescent="0.25">
      <c r="A20" s="277"/>
      <c r="B20" s="277"/>
      <c r="C20" s="277"/>
      <c r="D20" s="277"/>
      <c r="E20" s="277"/>
      <c r="F20" s="277"/>
      <c r="G20" s="277"/>
      <c r="H20" s="277"/>
      <c r="I20" s="277"/>
      <c r="J20" s="277"/>
      <c r="K20" s="277"/>
      <c r="L20" s="277"/>
      <c r="M20" s="277"/>
      <c r="N20" s="277"/>
      <c r="O20" s="277"/>
      <c r="P20" s="277"/>
      <c r="Q20" s="277"/>
      <c r="R20" s="277"/>
      <c r="S20" s="277"/>
    </row>
    <row r="21" spans="1:19" x14ac:dyDescent="0.25">
      <c r="A21" s="277"/>
      <c r="B21" s="277"/>
      <c r="C21" s="277"/>
      <c r="D21" s="277"/>
      <c r="E21" s="277"/>
      <c r="F21" s="277"/>
      <c r="G21" s="277"/>
      <c r="H21" s="277"/>
      <c r="I21" s="277"/>
      <c r="J21" s="277"/>
      <c r="K21" s="277"/>
      <c r="L21" s="277"/>
      <c r="M21" s="277"/>
      <c r="N21" s="277"/>
      <c r="O21" s="277"/>
      <c r="P21" s="277"/>
      <c r="Q21" s="277"/>
      <c r="R21" s="277"/>
      <c r="S21" s="277"/>
    </row>
    <row r="22" spans="1:19" x14ac:dyDescent="0.25">
      <c r="A22" s="277"/>
      <c r="B22" s="277"/>
      <c r="C22" s="277"/>
      <c r="D22" s="277"/>
      <c r="E22" s="277"/>
      <c r="F22" s="277"/>
      <c r="G22" s="277"/>
      <c r="H22" s="277"/>
      <c r="I22" s="277"/>
      <c r="J22" s="277"/>
      <c r="K22" s="277"/>
      <c r="L22" s="277"/>
      <c r="M22" s="277"/>
      <c r="N22" s="277"/>
      <c r="O22" s="277"/>
      <c r="P22" s="277"/>
      <c r="Q22" s="277"/>
      <c r="R22" s="277"/>
      <c r="S22" s="277"/>
    </row>
    <row r="23" spans="1:19" x14ac:dyDescent="0.25">
      <c r="A23" s="277"/>
      <c r="B23" s="277"/>
      <c r="C23" s="277"/>
      <c r="D23" s="277"/>
      <c r="E23" s="277"/>
      <c r="F23" s="277"/>
      <c r="G23" s="277"/>
      <c r="H23" s="277"/>
      <c r="I23" s="277"/>
      <c r="J23" s="277"/>
      <c r="K23" s="277"/>
      <c r="L23" s="277"/>
      <c r="M23" s="277"/>
      <c r="N23" s="277"/>
      <c r="O23" s="277"/>
      <c r="P23" s="277"/>
      <c r="Q23" s="277"/>
      <c r="R23" s="277"/>
      <c r="S23" s="277"/>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8FA0B9-5422-4B46-ADB1-DDD5F7103AAB}"/>
</file>

<file path=customXml/itemProps2.xml><?xml version="1.0" encoding="utf-8"?>
<ds:datastoreItem xmlns:ds="http://schemas.openxmlformats.org/officeDocument/2006/customXml" ds:itemID="{978E0829-857C-4B88-B095-CAD4549E1780}"/>
</file>

<file path=customXml/itemProps3.xml><?xml version="1.0" encoding="utf-8"?>
<ds:datastoreItem xmlns:ds="http://schemas.openxmlformats.org/officeDocument/2006/customXml" ds:itemID="{6478CF3A-F641-477D-BD0F-2AE01C9ED7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Roman-White, Selina (CONTR)</dc:creator>
  <cp:lastModifiedBy>Roman-White, Selina (CONTR)</cp:lastModifiedBy>
  <dcterms:created xsi:type="dcterms:W3CDTF">2018-01-15T14:33:28Z</dcterms:created>
  <dcterms:modified xsi:type="dcterms:W3CDTF">2019-01-22T20:15:37Z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